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8" yWindow="-120" windowWidth="20712" windowHeight="9408"/>
  </bookViews>
  <sheets>
    <sheet name="Notes" sheetId="4" r:id="rId1"/>
    <sheet name="Totals-Resident" sheetId="2" r:id="rId2"/>
    <sheet name="Totals-Nonresident" sheetId="8" r:id="rId3"/>
    <sheet name="CWU-EWU-TESC-WWU Data" sheetId="1" r:id="rId4"/>
    <sheet name="WSU Data" sheetId="3" r:id="rId5"/>
    <sheet name="UW Data" sheetId="7" r:id="rId6"/>
    <sheet name="SBCTC exp-no tuition" sheetId="5" r:id="rId7"/>
    <sheet name="SBCTC exp-incl tuition" sheetId="6" r:id="rId8"/>
  </sheets>
  <externalReferences>
    <externalReference r:id="rId9"/>
    <externalReference r:id="rId10"/>
    <externalReference r:id="rId11"/>
    <externalReference r:id="rId12"/>
  </externalReferences>
  <definedNames>
    <definedName name="_ftn1" localSheetId="4">'WSU Data'!$A$59</definedName>
    <definedName name="_ftnref1" localSheetId="4">'WSU Data'!$A$56</definedName>
  </definedNames>
  <calcPr calcId="145621"/>
</workbook>
</file>

<file path=xl/calcChain.xml><?xml version="1.0" encoding="utf-8"?>
<calcChain xmlns="http://schemas.openxmlformats.org/spreadsheetml/2006/main">
  <c r="C62" i="7" l="1"/>
  <c r="G46" i="3"/>
  <c r="G38" i="3"/>
  <c r="G39" i="3" s="1"/>
  <c r="G40" i="3" s="1"/>
  <c r="G4" i="8" s="1"/>
  <c r="G16" i="8" s="1"/>
  <c r="H61" i="1"/>
  <c r="G60" i="1"/>
  <c r="H45" i="1"/>
  <c r="G45" i="1"/>
  <c r="J38" i="1"/>
  <c r="J39" i="1" s="1"/>
  <c r="I38" i="1"/>
  <c r="I39" i="1" s="1"/>
  <c r="H38" i="1"/>
  <c r="H39" i="1" s="1"/>
  <c r="G38" i="1"/>
  <c r="G39" i="1" s="1"/>
  <c r="J30" i="1"/>
  <c r="J31" i="1" s="1"/>
  <c r="I30" i="1"/>
  <c r="I31" i="1" s="1"/>
  <c r="H30" i="1"/>
  <c r="H62" i="1" s="1"/>
  <c r="G30" i="1"/>
  <c r="G46" i="1" s="1"/>
  <c r="F21" i="8"/>
  <c r="F20" i="8"/>
  <c r="F15" i="8"/>
  <c r="F11" i="8"/>
  <c r="F11" i="2"/>
  <c r="B79" i="7"/>
  <c r="B80" i="7" s="1"/>
  <c r="B81" i="7" s="1"/>
  <c r="B71" i="7"/>
  <c r="B72" i="7" s="1"/>
  <c r="B62" i="7"/>
  <c r="B63" i="7" s="1"/>
  <c r="B64" i="7" s="1"/>
  <c r="C54" i="7"/>
  <c r="C53" i="7"/>
  <c r="C55" i="7" s="1"/>
  <c r="B53" i="7"/>
  <c r="G21" i="8"/>
  <c r="E21" i="8"/>
  <c r="D21" i="8"/>
  <c r="C21" i="8"/>
  <c r="B21" i="8"/>
  <c r="A21" i="8"/>
  <c r="G20" i="8"/>
  <c r="E20" i="8"/>
  <c r="D20" i="8"/>
  <c r="B20" i="8"/>
  <c r="H19" i="8"/>
  <c r="E19" i="8"/>
  <c r="D19" i="8"/>
  <c r="C19" i="8"/>
  <c r="A19" i="8"/>
  <c r="E17" i="8"/>
  <c r="D17" i="8"/>
  <c r="C17" i="8"/>
  <c r="B17" i="8"/>
  <c r="A17" i="8"/>
  <c r="E16" i="8"/>
  <c r="D16" i="8"/>
  <c r="C16" i="8"/>
  <c r="B16" i="8"/>
  <c r="G15" i="8"/>
  <c r="E15" i="8"/>
  <c r="D15" i="8"/>
  <c r="C15" i="8"/>
  <c r="B15" i="8"/>
  <c r="A15" i="8"/>
  <c r="E13" i="8"/>
  <c r="A13" i="8"/>
  <c r="E12" i="8"/>
  <c r="D12" i="8"/>
  <c r="G11" i="8"/>
  <c r="E11" i="8"/>
  <c r="D11" i="8"/>
  <c r="C11" i="8"/>
  <c r="B11" i="8"/>
  <c r="A11" i="8"/>
  <c r="A9" i="8"/>
  <c r="G7" i="8"/>
  <c r="A7" i="8"/>
  <c r="A5" i="8"/>
  <c r="G3" i="8"/>
  <c r="A3" i="8"/>
  <c r="E1" i="8"/>
  <c r="D1" i="8"/>
  <c r="C1" i="8"/>
  <c r="B1" i="8"/>
  <c r="D48" i="7"/>
  <c r="C48" i="7"/>
  <c r="B78" i="7" s="1"/>
  <c r="F15" i="2" s="1"/>
  <c r="B48" i="7"/>
  <c r="D43" i="7"/>
  <c r="C43" i="7"/>
  <c r="B70" i="7" s="1"/>
  <c r="B43" i="7"/>
  <c r="D22" i="7"/>
  <c r="C22" i="7"/>
  <c r="B22" i="7"/>
  <c r="D21" i="7"/>
  <c r="C21" i="7"/>
  <c r="B21" i="7"/>
  <c r="D19" i="7"/>
  <c r="C19" i="7"/>
  <c r="B19" i="7"/>
  <c r="D18" i="7"/>
  <c r="D29" i="7" s="1"/>
  <c r="C18" i="7"/>
  <c r="B18" i="7"/>
  <c r="D17" i="7"/>
  <c r="C17" i="7"/>
  <c r="B17" i="7"/>
  <c r="D14" i="7"/>
  <c r="C14" i="7"/>
  <c r="B14" i="7"/>
  <c r="D11" i="7"/>
  <c r="D10" i="7"/>
  <c r="D9" i="7"/>
  <c r="C31" i="7" s="1"/>
  <c r="D8" i="7"/>
  <c r="D7" i="7"/>
  <c r="D6" i="7"/>
  <c r="D5" i="7"/>
  <c r="C27" i="7" s="1"/>
  <c r="D4" i="7"/>
  <c r="B26" i="7" s="1"/>
  <c r="D3" i="7"/>
  <c r="B30" i="1"/>
  <c r="B31" i="1" s="1"/>
  <c r="B32" i="1" s="1"/>
  <c r="B48" i="1" s="1"/>
  <c r="B60" i="1"/>
  <c r="B19" i="8" s="1"/>
  <c r="F24" i="5"/>
  <c r="E24" i="5"/>
  <c r="D24" i="5"/>
  <c r="C24" i="5"/>
  <c r="B24" i="5"/>
  <c r="F23" i="5"/>
  <c r="E23" i="5"/>
  <c r="D23" i="5"/>
  <c r="C23" i="5"/>
  <c r="B23" i="5"/>
  <c r="F22" i="5"/>
  <c r="E22" i="5"/>
  <c r="D22" i="5"/>
  <c r="C22" i="5"/>
  <c r="B22" i="5"/>
  <c r="H8" i="5"/>
  <c r="H7" i="5"/>
  <c r="H9" i="5"/>
  <c r="H5" i="2" s="1"/>
  <c r="F23" i="6"/>
  <c r="E23" i="6"/>
  <c r="D23" i="6"/>
  <c r="C23" i="6"/>
  <c r="B23" i="6"/>
  <c r="F22" i="6"/>
  <c r="E22" i="6"/>
  <c r="D22" i="6"/>
  <c r="C22" i="6"/>
  <c r="B22" i="6"/>
  <c r="F21" i="6"/>
  <c r="E21" i="6"/>
  <c r="D21" i="6"/>
  <c r="C21" i="6"/>
  <c r="B21" i="6"/>
  <c r="H7" i="6"/>
  <c r="H6" i="6"/>
  <c r="H8" i="6" s="1"/>
  <c r="H21" i="2"/>
  <c r="H19" i="2"/>
  <c r="G8" i="2"/>
  <c r="A8" i="2"/>
  <c r="G4" i="2"/>
  <c r="A4" i="2"/>
  <c r="G16" i="2"/>
  <c r="G15" i="2"/>
  <c r="G12" i="2"/>
  <c r="G11" i="2"/>
  <c r="D72" i="3"/>
  <c r="C72" i="3"/>
  <c r="D68" i="3"/>
  <c r="C68" i="3"/>
  <c r="G13" i="2" s="1"/>
  <c r="G9" i="2"/>
  <c r="G7" i="2"/>
  <c r="G5" i="2"/>
  <c r="G3" i="2"/>
  <c r="E14" i="3"/>
  <c r="D14" i="3"/>
  <c r="C14" i="3"/>
  <c r="F13" i="3"/>
  <c r="F12" i="3"/>
  <c r="F11" i="3"/>
  <c r="F10" i="3"/>
  <c r="F9" i="3"/>
  <c r="F8" i="3"/>
  <c r="F18" i="3" s="1"/>
  <c r="F7" i="3"/>
  <c r="F17" i="3" s="1"/>
  <c r="F6" i="3"/>
  <c r="C11" i="2"/>
  <c r="D11" i="2"/>
  <c r="E11" i="2"/>
  <c r="D12" i="2"/>
  <c r="E12" i="2"/>
  <c r="D13" i="2"/>
  <c r="E13" i="2"/>
  <c r="C15" i="2"/>
  <c r="D15" i="2"/>
  <c r="E15" i="2"/>
  <c r="C16" i="2"/>
  <c r="D16" i="2"/>
  <c r="E16" i="2"/>
  <c r="C17" i="2"/>
  <c r="D17" i="2"/>
  <c r="E17" i="2"/>
  <c r="C19" i="2"/>
  <c r="D19" i="2"/>
  <c r="E19" i="2"/>
  <c r="D20" i="2"/>
  <c r="E20" i="2"/>
  <c r="C21" i="2"/>
  <c r="D21" i="2"/>
  <c r="E21" i="2"/>
  <c r="B20" i="2"/>
  <c r="B17" i="2"/>
  <c r="B16" i="2"/>
  <c r="B15" i="2"/>
  <c r="B11" i="2"/>
  <c r="E1" i="2"/>
  <c r="C1" i="2"/>
  <c r="D1" i="2"/>
  <c r="B1" i="2"/>
  <c r="F20" i="2"/>
  <c r="G20" i="2"/>
  <c r="F21" i="2"/>
  <c r="G21" i="2"/>
  <c r="A21" i="2"/>
  <c r="A20" i="2"/>
  <c r="A19" i="2"/>
  <c r="A17" i="2"/>
  <c r="A16" i="2"/>
  <c r="A15" i="2"/>
  <c r="A13" i="2"/>
  <c r="A12" i="2"/>
  <c r="C61" i="1"/>
  <c r="B45" i="1"/>
  <c r="C45" i="1"/>
  <c r="C38" i="1"/>
  <c r="C39" i="1" s="1"/>
  <c r="C40" i="1" s="1"/>
  <c r="C41" i="1" s="1"/>
  <c r="C30" i="1"/>
  <c r="C46" i="1" s="1"/>
  <c r="C20" i="1"/>
  <c r="C17" i="1"/>
  <c r="C14" i="1"/>
  <c r="C13" i="1"/>
  <c r="E38" i="1"/>
  <c r="E39" i="1"/>
  <c r="E40" i="1" s="1"/>
  <c r="E41" i="1" s="1"/>
  <c r="E8" i="2" s="1"/>
  <c r="B38" i="1"/>
  <c r="B39" i="1" s="1"/>
  <c r="E30" i="1"/>
  <c r="E31" i="1" s="1"/>
  <c r="D38" i="1"/>
  <c r="D39" i="1" s="1"/>
  <c r="D30" i="1"/>
  <c r="D31" i="1" s="1"/>
  <c r="A5" i="2"/>
  <c r="A7" i="2"/>
  <c r="A9" i="2"/>
  <c r="A11" i="2"/>
  <c r="A3" i="2"/>
  <c r="E8" i="1"/>
  <c r="E5" i="1"/>
  <c r="B46" i="1"/>
  <c r="E11" i="1"/>
  <c r="E10" i="1"/>
  <c r="E9" i="1"/>
  <c r="E6" i="1"/>
  <c r="E14" i="1" s="1"/>
  <c r="D17" i="1"/>
  <c r="D14" i="1"/>
  <c r="D13" i="1"/>
  <c r="B12" i="1"/>
  <c r="B11" i="1"/>
  <c r="B10" i="1"/>
  <c r="B9" i="1"/>
  <c r="B8" i="1"/>
  <c r="B6" i="1"/>
  <c r="B14" i="1" s="1"/>
  <c r="B5" i="1"/>
  <c r="B21" i="2"/>
  <c r="H3" i="8" l="1"/>
  <c r="H3" i="2"/>
  <c r="D27" i="7"/>
  <c r="B28" i="7"/>
  <c r="C28" i="7"/>
  <c r="G47" i="3"/>
  <c r="G48" i="3" s="1"/>
  <c r="G8" i="8" s="1"/>
  <c r="E13" i="1"/>
  <c r="E15" i="1" s="1"/>
  <c r="B33" i="7"/>
  <c r="C63" i="7"/>
  <c r="C64" i="7" s="1"/>
  <c r="G12" i="8"/>
  <c r="F12" i="8"/>
  <c r="H31" i="1"/>
  <c r="H63" i="1" s="1"/>
  <c r="J40" i="1"/>
  <c r="J41" i="1" s="1"/>
  <c r="E8" i="8" s="1"/>
  <c r="J32" i="1"/>
  <c r="J33" i="1" s="1"/>
  <c r="E4" i="8" s="1"/>
  <c r="I40" i="1"/>
  <c r="I41" i="1" s="1"/>
  <c r="D8" i="8" s="1"/>
  <c r="H40" i="1"/>
  <c r="H41" i="1" s="1"/>
  <c r="C8" i="8" s="1"/>
  <c r="I32" i="1"/>
  <c r="I33" i="1" s="1"/>
  <c r="D4" i="8" s="1"/>
  <c r="G40" i="1"/>
  <c r="G41" i="1" s="1"/>
  <c r="B8" i="8" s="1"/>
  <c r="G31" i="1"/>
  <c r="H46" i="1"/>
  <c r="B19" i="2"/>
  <c r="B82" i="7"/>
  <c r="B83" i="7" s="1"/>
  <c r="C29" i="7"/>
  <c r="D28" i="7"/>
  <c r="B30" i="7"/>
  <c r="C32" i="7"/>
  <c r="D33" i="7"/>
  <c r="D31" i="7"/>
  <c r="C56" i="7"/>
  <c r="C57" i="7" s="1"/>
  <c r="F4" i="8" s="1"/>
  <c r="F16" i="8" s="1"/>
  <c r="B73" i="7"/>
  <c r="D26" i="7"/>
  <c r="B25" i="7"/>
  <c r="C33" i="7"/>
  <c r="D30" i="7"/>
  <c r="B32" i="7"/>
  <c r="D25" i="7"/>
  <c r="B29" i="7"/>
  <c r="C30" i="7"/>
  <c r="D32" i="7"/>
  <c r="C26" i="7"/>
  <c r="G17" i="2"/>
  <c r="F14" i="3"/>
  <c r="F24" i="3" s="1"/>
  <c r="F28" i="3" s="1"/>
  <c r="F29" i="3" s="1"/>
  <c r="F33" i="3" s="1"/>
  <c r="B17" i="1"/>
  <c r="C8" i="2"/>
  <c r="B13" i="1"/>
  <c r="D15" i="1"/>
  <c r="D18" i="1" s="1"/>
  <c r="D22" i="1" s="1"/>
  <c r="D28" i="1" s="1"/>
  <c r="B47" i="1"/>
  <c r="E17" i="1"/>
  <c r="C15" i="1"/>
  <c r="C18" i="1" s="1"/>
  <c r="C22" i="1" s="1"/>
  <c r="C28" i="1" s="1"/>
  <c r="B54" i="7"/>
  <c r="B65" i="7"/>
  <c r="B66" i="7" s="1"/>
  <c r="F8" i="2" s="1"/>
  <c r="E32" i="1"/>
  <c r="E33" i="1" s="1"/>
  <c r="D40" i="1"/>
  <c r="D41" i="1" s="1"/>
  <c r="D32" i="1"/>
  <c r="D33" i="1" s="1"/>
  <c r="B15" i="1"/>
  <c r="C62" i="1"/>
  <c r="B40" i="1"/>
  <c r="B41" i="1" s="1"/>
  <c r="C31" i="1"/>
  <c r="B33" i="1"/>
  <c r="B27" i="7"/>
  <c r="B31" i="7"/>
  <c r="C25" i="7"/>
  <c r="C3" i="8" l="1"/>
  <c r="H28" i="1"/>
  <c r="D3" i="8"/>
  <c r="I28" i="1"/>
  <c r="F16" i="2"/>
  <c r="B84" i="7"/>
  <c r="F17" i="2" s="1"/>
  <c r="B18" i="1"/>
  <c r="B22" i="1" s="1"/>
  <c r="B28" i="1" s="1"/>
  <c r="B34" i="7"/>
  <c r="B38" i="7" s="1"/>
  <c r="F36" i="7" s="1"/>
  <c r="C36" i="1"/>
  <c r="C65" i="7"/>
  <c r="C66" i="7" s="1"/>
  <c r="F8" i="8" s="1"/>
  <c r="H32" i="1"/>
  <c r="H47" i="1"/>
  <c r="G47" i="1"/>
  <c r="G32" i="1"/>
  <c r="G48" i="1" s="1"/>
  <c r="H48" i="1"/>
  <c r="H64" i="1"/>
  <c r="H33" i="1"/>
  <c r="C4" i="8" s="1"/>
  <c r="E18" i="1"/>
  <c r="E22" i="1" s="1"/>
  <c r="E28" i="1" s="1"/>
  <c r="D36" i="1"/>
  <c r="B74" i="7"/>
  <c r="B75" i="7" s="1"/>
  <c r="C34" i="7"/>
  <c r="C38" i="7" s="1"/>
  <c r="D34" i="7"/>
  <c r="D38" i="7" s="1"/>
  <c r="D3" i="2"/>
  <c r="D8" i="2"/>
  <c r="D4" i="2"/>
  <c r="E4" i="2"/>
  <c r="B8" i="2"/>
  <c r="C3" i="2"/>
  <c r="B55" i="7"/>
  <c r="D34" i="1"/>
  <c r="B3" i="2"/>
  <c r="B4" i="2"/>
  <c r="B49" i="1"/>
  <c r="C63" i="1"/>
  <c r="C32" i="1"/>
  <c r="C47" i="1"/>
  <c r="E3" i="2"/>
  <c r="D42" i="1"/>
  <c r="E3" i="8" l="1"/>
  <c r="J28" i="1"/>
  <c r="C12" i="8"/>
  <c r="C20" i="8"/>
  <c r="C7" i="8"/>
  <c r="H36" i="1"/>
  <c r="C42" i="1"/>
  <c r="C7" i="2"/>
  <c r="B61" i="7"/>
  <c r="C61" i="7"/>
  <c r="B3" i="8"/>
  <c r="G28" i="1"/>
  <c r="B76" i="7"/>
  <c r="F13" i="2" s="1"/>
  <c r="F12" i="2"/>
  <c r="E34" i="1"/>
  <c r="E5" i="2" s="1"/>
  <c r="B36" i="1"/>
  <c r="E36" i="1"/>
  <c r="B34" i="1"/>
  <c r="D7" i="8"/>
  <c r="I36" i="1"/>
  <c r="H65" i="1"/>
  <c r="H49" i="1"/>
  <c r="G33" i="1"/>
  <c r="B4" i="8" s="1"/>
  <c r="B12" i="8" s="1"/>
  <c r="D7" i="2"/>
  <c r="B52" i="7"/>
  <c r="C52" i="7"/>
  <c r="D5" i="2"/>
  <c r="D9" i="2"/>
  <c r="B5" i="2"/>
  <c r="C9" i="2"/>
  <c r="B56" i="7"/>
  <c r="B57" i="7" s="1"/>
  <c r="B42" i="1"/>
  <c r="C64" i="1"/>
  <c r="C48" i="1"/>
  <c r="B12" i="2"/>
  <c r="B50" i="1"/>
  <c r="C33" i="1"/>
  <c r="E7" i="8" l="1"/>
  <c r="J36" i="1"/>
  <c r="B67" i="7"/>
  <c r="F9" i="2" s="1"/>
  <c r="F7" i="2"/>
  <c r="F7" i="8"/>
  <c r="E7" i="2"/>
  <c r="E42" i="1"/>
  <c r="F3" i="2"/>
  <c r="F3" i="8"/>
  <c r="B58" i="7"/>
  <c r="F5" i="2" s="1"/>
  <c r="F4" i="2"/>
  <c r="B7" i="8"/>
  <c r="G36" i="1"/>
  <c r="B7" i="2"/>
  <c r="G49" i="1"/>
  <c r="B9" i="2"/>
  <c r="E9" i="2"/>
  <c r="B13" i="2"/>
  <c r="C4" i="2"/>
  <c r="C49" i="1"/>
  <c r="C65" i="1"/>
  <c r="C34" i="1"/>
  <c r="C20" i="2" l="1"/>
  <c r="C5" i="2"/>
  <c r="C12" i="2"/>
  <c r="C50" i="1"/>
  <c r="C13" i="2" l="1"/>
</calcChain>
</file>

<file path=xl/comments1.xml><?xml version="1.0" encoding="utf-8"?>
<comments xmlns="http://schemas.openxmlformats.org/spreadsheetml/2006/main">
  <authors>
    <author>Beard, Melissa (OFM)</author>
  </authors>
  <commentList>
    <comment ref="C11" authorId="0">
      <text>
        <r>
          <rPr>
            <b/>
            <sz val="8"/>
            <color indexed="81"/>
            <rFont val="Tahoma"/>
            <family val="2"/>
          </rPr>
          <t>Beard, Melissa (OFM):</t>
        </r>
        <r>
          <rPr>
            <sz val="8"/>
            <color indexed="81"/>
            <rFont val="Tahoma"/>
            <family val="2"/>
          </rPr>
          <t xml:space="preserve">
</t>
        </r>
      </text>
    </comment>
  </commentList>
</comments>
</file>

<file path=xl/comments2.xml><?xml version="1.0" encoding="utf-8"?>
<comments xmlns="http://schemas.openxmlformats.org/spreadsheetml/2006/main">
  <authors>
    <author>Beard, Melissa (OFM)</author>
  </authors>
  <commentList>
    <comment ref="C11" authorId="0">
      <text>
        <r>
          <rPr>
            <b/>
            <sz val="8"/>
            <color indexed="81"/>
            <rFont val="Tahoma"/>
            <family val="2"/>
          </rPr>
          <t>Beard, Melissa (OFM):</t>
        </r>
        <r>
          <rPr>
            <sz val="8"/>
            <color indexed="81"/>
            <rFont val="Tahoma"/>
            <family val="2"/>
          </rPr>
          <t xml:space="preserve">
</t>
        </r>
      </text>
    </comment>
  </commentList>
</comments>
</file>

<file path=xl/comments3.xml><?xml version="1.0" encoding="utf-8"?>
<comments xmlns="http://schemas.openxmlformats.org/spreadsheetml/2006/main">
  <authors>
    <author>Beard, Melissa (OFM)</author>
  </authors>
  <commentList>
    <comment ref="C44" authorId="0">
      <text>
        <r>
          <rPr>
            <b/>
            <sz val="8"/>
            <color indexed="81"/>
            <rFont val="Tahoma"/>
            <charset val="1"/>
          </rPr>
          <t>Beard, Melissa (OFM):</t>
        </r>
        <r>
          <rPr>
            <sz val="8"/>
            <color indexed="81"/>
            <rFont val="Tahoma"/>
            <charset val="1"/>
          </rPr>
          <t xml:space="preserve">
Eastern Washington University is the only comprehensive university to offer degrees in Mechanical Engineering and Electrical Engineering.  Eastern also offers a degree in Mechanical Engineering Technology.</t>
        </r>
      </text>
    </comment>
    <comment ref="H44" authorId="0">
      <text>
        <r>
          <rPr>
            <b/>
            <sz val="8"/>
            <color indexed="81"/>
            <rFont val="Tahoma"/>
            <charset val="1"/>
          </rPr>
          <t>Beard, Melissa (OFM):</t>
        </r>
        <r>
          <rPr>
            <sz val="8"/>
            <color indexed="81"/>
            <rFont val="Tahoma"/>
            <charset val="1"/>
          </rPr>
          <t xml:space="preserve">
Eastern Washington University is the only comprehensive university to offer degrees in Mechanical Engineering and Electrical Engineering.  Eastern also offers a degree in Mechanical Engineering Technology.</t>
        </r>
      </text>
    </comment>
    <comment ref="B60" authorId="0">
      <text>
        <r>
          <rPr>
            <b/>
            <sz val="8"/>
            <color indexed="81"/>
            <rFont val="Tahoma"/>
            <charset val="1"/>
          </rPr>
          <t>Beard, Melissa (OFM):</t>
        </r>
        <r>
          <rPr>
            <sz val="8"/>
            <color indexed="81"/>
            <rFont val="Tahoma"/>
            <charset val="1"/>
          </rPr>
          <t xml:space="preserve">
Expenditures in Fund 148</t>
        </r>
      </text>
    </comment>
    <comment ref="G60" authorId="0">
      <text>
        <r>
          <rPr>
            <b/>
            <sz val="8"/>
            <color indexed="81"/>
            <rFont val="Tahoma"/>
            <charset val="1"/>
          </rPr>
          <t>Beard, Melissa (OFM):</t>
        </r>
        <r>
          <rPr>
            <sz val="8"/>
            <color indexed="81"/>
            <rFont val="Tahoma"/>
            <charset val="1"/>
          </rPr>
          <t xml:space="preserve">
Expenditures in Fund 148</t>
        </r>
      </text>
    </comment>
  </commentList>
</comments>
</file>

<file path=xl/comments4.xml><?xml version="1.0" encoding="utf-8"?>
<comments xmlns="http://schemas.openxmlformats.org/spreadsheetml/2006/main">
  <authors>
    <author>Paula Moore</author>
  </authors>
  <commentList>
    <comment ref="A27" authorId="0">
      <text>
        <r>
          <rPr>
            <sz val="9"/>
            <color indexed="81"/>
            <rFont val="Tahoma"/>
            <family val="2"/>
          </rPr>
          <t>ArnelB:</t>
        </r>
        <r>
          <rPr>
            <b/>
            <sz val="9"/>
            <color indexed="81"/>
            <rFont val="Tahoma"/>
            <family val="2"/>
          </rPr>
          <t xml:space="preserve">
Pulled from 2011-12 Program Expenditure Detail.  </t>
        </r>
      </text>
    </comment>
  </commentList>
</comments>
</file>

<file path=xl/sharedStrings.xml><?xml version="1.0" encoding="utf-8"?>
<sst xmlns="http://schemas.openxmlformats.org/spreadsheetml/2006/main" count="375" uniqueCount="187">
  <si>
    <t>Evergreen</t>
  </si>
  <si>
    <t>Central</t>
  </si>
  <si>
    <t>FY12 Expenditures (NGFS &amp; 149)</t>
  </si>
  <si>
    <t>Instruction (prg 01X)</t>
  </si>
  <si>
    <t>Research (prg 02X)</t>
  </si>
  <si>
    <t>Public Service (prg 03X)</t>
  </si>
  <si>
    <t>Academic Support (prg 04X)</t>
  </si>
  <si>
    <t>Libraries (Prg 05X)</t>
  </si>
  <si>
    <t>Student Services (prg 06X)</t>
  </si>
  <si>
    <t>Institutional Support (prg 08X)</t>
  </si>
  <si>
    <t>Maintenance &amp; Operations (prg 09X)</t>
  </si>
  <si>
    <t>Total Near -GFS+ Fund 149</t>
  </si>
  <si>
    <t>Less programs 02x &amp; 03X</t>
  </si>
  <si>
    <t>Expenditures supporting instruction activities</t>
  </si>
  <si>
    <t>Percent of indirect costs allocated to Instruction*</t>
  </si>
  <si>
    <t>Less indirect costs NOT allocated to instruction</t>
  </si>
  <si>
    <t>Net Instruction expenditures</t>
  </si>
  <si>
    <t>State supported FTES</t>
  </si>
  <si>
    <t xml:space="preserve">* Historical average cost study percents for comprehensive institutions for three previous cost studies (1997-98, 2001-02, 2005-06) </t>
  </si>
  <si>
    <t>Western</t>
  </si>
  <si>
    <t>Amount of state support received per UG</t>
  </si>
  <si>
    <t>Amount of state support received per GR</t>
  </si>
  <si>
    <t>Amount of state support received per engineering student</t>
  </si>
  <si>
    <t>Amount of state support received per nursing student</t>
  </si>
  <si>
    <t>Washington</t>
  </si>
  <si>
    <t>Washington State</t>
  </si>
  <si>
    <t xml:space="preserve">  -Less Tuition Waiver Levels (11% EWU &amp; 10% for all others)</t>
  </si>
  <si>
    <t>Gross Resident UG tuition</t>
  </si>
  <si>
    <t>Adjusted Gross Resident UG Tuition</t>
  </si>
  <si>
    <t xml:space="preserve">  - Less 4% Student Aid </t>
  </si>
  <si>
    <t>Net Resident UG Tuition Level</t>
  </si>
  <si>
    <t>Net Resident GR Tuition Level</t>
  </si>
  <si>
    <t>N/A</t>
  </si>
  <si>
    <t>Adjusted Gross Resident GR Tuition</t>
  </si>
  <si>
    <t>Average expenditure per FTES</t>
  </si>
  <si>
    <t>Percent of expenditure per FTES UG to avg cost for all students*</t>
  </si>
  <si>
    <t>Percent of expenditure per FTES Grad to avg cost for UG student*</t>
  </si>
  <si>
    <t>Expenditure per UG FTES</t>
  </si>
  <si>
    <t>Expenditure per Grad FTES</t>
  </si>
  <si>
    <t>Expenditure per UG Engineering FTE</t>
  </si>
  <si>
    <t>Expenditure per UG Nursing FTE</t>
  </si>
  <si>
    <t>Expenditure per remedial FTE</t>
  </si>
  <si>
    <t>Supporting Calculations:  WSU FY2012 Expenditure Study</t>
  </si>
  <si>
    <t>1. State Fund Expenditures per AFRS</t>
  </si>
  <si>
    <t>Fund 001</t>
  </si>
  <si>
    <t xml:space="preserve"> Fund 08A</t>
  </si>
  <si>
    <t xml:space="preserve"> Fund 062</t>
  </si>
  <si>
    <t xml:space="preserve">Total </t>
  </si>
  <si>
    <t>01</t>
  </si>
  <si>
    <t>Instruction</t>
  </si>
  <si>
    <t>02</t>
  </si>
  <si>
    <t>Research</t>
  </si>
  <si>
    <t>03</t>
  </si>
  <si>
    <t>Public Service</t>
  </si>
  <si>
    <t>04</t>
  </si>
  <si>
    <t>Primary Support</t>
  </si>
  <si>
    <t>05</t>
  </si>
  <si>
    <t>Library</t>
  </si>
  <si>
    <t>06</t>
  </si>
  <si>
    <t>Student Services</t>
  </si>
  <si>
    <t>08</t>
  </si>
  <si>
    <t>Inst. Support</t>
  </si>
  <si>
    <t>09</t>
  </si>
  <si>
    <t>O&amp;M</t>
  </si>
  <si>
    <t>2. Less State Fund Expenditures for Public Service and Research</t>
  </si>
  <si>
    <t>3. Plus Operating Tuition Expenditures</t>
  </si>
  <si>
    <t>Total Fund 149 Expenditures per AFRS</t>
  </si>
  <si>
    <t>Bond Payments From Tuition (Revenue Transfers)</t>
  </si>
  <si>
    <t>State + Tuition Expenditures Supporting Instructional Activities</t>
  </si>
  <si>
    <r>
      <t>Total Direct  instructional Expenditures {</t>
    </r>
    <r>
      <rPr>
        <sz val="11"/>
        <color theme="1"/>
        <rFont val="Calibri"/>
        <family val="2"/>
        <scheme val="minor"/>
      </rPr>
      <t>1}</t>
    </r>
  </si>
  <si>
    <r>
      <t>Total Instructional Support Expenditures {</t>
    </r>
    <r>
      <rPr>
        <sz val="11"/>
        <color theme="1"/>
        <rFont val="Calibri"/>
        <family val="2"/>
        <scheme val="minor"/>
      </rPr>
      <t>2}</t>
    </r>
  </si>
  <si>
    <t>State supported student FTE</t>
  </si>
  <si>
    <t>Average Expenditure per FTE</t>
  </si>
  <si>
    <r>
      <t>Expenditure per UG FTE {</t>
    </r>
    <r>
      <rPr>
        <vertAlign val="superscript"/>
        <sz val="11"/>
        <color theme="1"/>
        <rFont val="Calibri"/>
        <family val="2"/>
      </rPr>
      <t>3}</t>
    </r>
  </si>
  <si>
    <t>Gross Resident UG operating fees</t>
  </si>
  <si>
    <t xml:space="preserve">  -Less Tuition Waiver Levels</t>
  </si>
  <si>
    <r>
      <t>Expenditure per Grad FTE</t>
    </r>
    <r>
      <rPr>
        <b/>
        <vertAlign val="superscript"/>
        <sz val="10"/>
        <color theme="1"/>
        <rFont val="Calibri"/>
        <family val="2"/>
      </rPr>
      <t xml:space="preserve"> {3}</t>
    </r>
  </si>
  <si>
    <t>Resident GR operating fees</t>
  </si>
  <si>
    <t>Notes:</t>
  </si>
  <si>
    <t>{1} Pro-rated between undergraduate and graduate using student credit hours taught by faculty</t>
  </si>
  <si>
    <t>{2} Allocated between undergraduate and graduate using cost drivers such as faculty FTE, student SCH or FTE, or direct instructional expenditures</t>
  </si>
  <si>
    <t>{3} Pro-rated between undergraduate and graduate using student credit hours taught by faculty</t>
  </si>
  <si>
    <t>Estimated State Support of Engineering and Nursing Students</t>
  </si>
  <si>
    <t>Fiscal Year 2012 Expenditure Analysis v. Market</t>
  </si>
  <si>
    <t>FY 2012</t>
  </si>
  <si>
    <t>Market</t>
  </si>
  <si>
    <r>
      <t xml:space="preserve">Expenditure per UG Engineering FTE </t>
    </r>
    <r>
      <rPr>
        <b/>
        <i/>
        <sz val="8"/>
        <color theme="1"/>
        <rFont val="Century Gothic"/>
        <family val="2"/>
      </rPr>
      <t>(Upper Division)</t>
    </r>
  </si>
  <si>
    <r>
      <t xml:space="preserve">Resident UG operating fees </t>
    </r>
    <r>
      <rPr>
        <i/>
        <sz val="8"/>
        <color theme="1"/>
        <rFont val="Century Gothic"/>
        <family val="2"/>
      </rPr>
      <t>(waiver &amp; aid adjusted)</t>
    </r>
  </si>
  <si>
    <r>
      <t>Expenditure per UG Nursing FTE</t>
    </r>
    <r>
      <rPr>
        <b/>
        <i/>
        <sz val="8"/>
        <color theme="1"/>
        <rFont val="Century Gothic"/>
        <family val="2"/>
      </rPr>
      <t xml:space="preserve"> (Upper Division)</t>
    </r>
  </si>
  <si>
    <t>Footnote:</t>
  </si>
  <si>
    <t>(1) The peer average is based on a 1988 HECB study that developed peer groups reflecting a national perspective. Concurrently, a special joint legislative and executive study group was appointed to review the higher education master plan funding recommendations, with peer comparison groups identified as one of its areas of study.</t>
  </si>
  <si>
    <t>To estimate the cost of expanding engineering and nursing given the current market, WSU recalculated the support per student using the average peer salary for faculty. The results of this calculation are shown in tab 2 of the attached spreadsheet. This view helps give users a sense for true cost of expansion in these selected programs.</t>
  </si>
  <si>
    <t>Users of this analysis should note that future expansion may not be achievable at these historical support levels, due to a highly competitive market for faculty.  For example, engineering faculty salaries at WSU, as reflected in this study, lag 14% behind the average salary at peer institutions.  See Footnote 1.  Similarly, nursing faculty salaries run 11% behind peers.  Thus, more competitive compensation packages would be needed to successfully attract the new faculty necessary for expansion.   Similar market forces are driving the cost of expanding business, science and other key growth areas</t>
  </si>
  <si>
    <t>Notes about the 2012 Expenditure Study</t>
  </si>
  <si>
    <t>1.</t>
  </si>
  <si>
    <t>There is a distinction is made between "Cost" and "Expenditure."  The numbers provided are averages of expenditures per FTE in 2011-12 which may not reflect the actual cost of adding more FTEs.</t>
  </si>
  <si>
    <t>2.</t>
  </si>
  <si>
    <t>3.</t>
  </si>
  <si>
    <t>4.</t>
  </si>
  <si>
    <t>5.</t>
  </si>
  <si>
    <t>FY 2011</t>
  </si>
  <si>
    <t>Academic</t>
  </si>
  <si>
    <t>Basic Skills</t>
  </si>
  <si>
    <t>Pre-College</t>
  </si>
  <si>
    <t>Vocational</t>
  </si>
  <si>
    <t>Total</t>
  </si>
  <si>
    <t>Total Expenditures</t>
  </si>
  <si>
    <t>Student FTES</t>
  </si>
  <si>
    <t>Total $ per FTES</t>
  </si>
  <si>
    <t>Includes Tuition (149)</t>
  </si>
  <si>
    <t>CTCs</t>
  </si>
  <si>
    <t>Gross Resident GR tuition</t>
  </si>
  <si>
    <t>CWU</t>
  </si>
  <si>
    <t>Financial Aid deduct</t>
  </si>
  <si>
    <t>Waiver rates</t>
  </si>
  <si>
    <t>School</t>
  </si>
  <si>
    <t>EWU</t>
  </si>
  <si>
    <t>TESC</t>
  </si>
  <si>
    <t>UW</t>
  </si>
  <si>
    <t>WSU</t>
  </si>
  <si>
    <t>WWU</t>
  </si>
  <si>
    <t>Data Sources:</t>
  </si>
  <si>
    <t>Expenditure data for CWU, EWU, TESC, WWU and CTCs came from AFRS.</t>
  </si>
  <si>
    <t xml:space="preserve">Expenditure by program area (Engineering, Nursing, Remedial) calculated by each institution.  </t>
  </si>
  <si>
    <t>WSU and UW calculated expenditure data, using AFRS data, in order to account for faculty time spent on research.</t>
  </si>
  <si>
    <t>The amount of state support per FTE is calculated by subtracting the net tuition amount from the expenditure per FTE.  This does not represent state funding per FTE.</t>
  </si>
  <si>
    <t>To determine a net tuition amount per student, the study adjusts for the tuition waivers and tuition money that goes directly to the institution’s financial aid programs.  For a student that pays tuition, a percentage (for details, see below) of their payment goes to the school’s financial aid program.  Also, a school is allowed to offer tuition waivers that account for a percentage (for details, see below) of their tuition revenue, meaning this revenue is not collected.  To calculate a more accurate state support per FTE amount, it was important to remove the diverted money and forgone revenue from the tuition and operating fees amount.  For details about waivers, see the institutions' TECM reports submitted annually to LEAP and the more detailed reporting that is a special required higher education accountability report in the biennial budget request submittal.</t>
  </si>
  <si>
    <t>State Expenditures for FY 2012 and Comparison to FY 2011.</t>
  </si>
  <si>
    <t>AFRS Expenditures (001, 08A)</t>
  </si>
  <si>
    <t>Excludes Tuition.</t>
  </si>
  <si>
    <t>Difference between FY 2012 and FY 2011</t>
  </si>
  <si>
    <t>Total Expenditures (State and Tuition) for FY 2012 and Comparison to FY 2011</t>
  </si>
  <si>
    <t>AFRS Expenditures (001, 08A, 149)</t>
  </si>
  <si>
    <t>FMS Expenditures (001, 08A, 149)</t>
  </si>
  <si>
    <t>Average UG</t>
  </si>
  <si>
    <t>This files provides an average expenditure per undergraduate and graduate FTE along with expenditures for engineering and nursing FTEs to represent the expenditure associated with STEM or high employer demand FTEs.  The institutions are prepared to answer specific questions for other programs if the need arises.</t>
  </si>
  <si>
    <t>Expenditures for programs were calculated by looking at expenditures by college.  Colleges typically include multiple departments and programs.  A department-level expenditure study would require a new financial system for any useful results.</t>
  </si>
  <si>
    <t>*Eastern Washington University is the only comprehensive university to offer degrees in Mechanical Engineering and Electrical Engineering.  Eastern also offers a degree in Mechanical Engineering Technology.</t>
  </si>
  <si>
    <t>Eastern*</t>
  </si>
  <si>
    <t>Deduct</t>
  </si>
  <si>
    <t>Forgone rev, not collected</t>
  </si>
  <si>
    <t>Approximate amount of state support per UG</t>
  </si>
  <si>
    <t>Approximate amount of state support per  GR</t>
  </si>
  <si>
    <t>Approximate amount of state support per engineering student</t>
  </si>
  <si>
    <t>Approximate amount of state support per nursing student</t>
  </si>
  <si>
    <t>Approximate amount of state support per remedial student</t>
  </si>
  <si>
    <t>GOF/DOF-LFA Expenditures per FTE for UW
(includes some funding in addition to state support and tuition revenue)*</t>
  </si>
  <si>
    <t>Expenditures</t>
  </si>
  <si>
    <t>Total GOF/DOF-LFA Expenditures</t>
  </si>
  <si>
    <t>Percentage to Instruction</t>
  </si>
  <si>
    <t>Total GOF/DOF-LFA Expenditures for Instruction</t>
  </si>
  <si>
    <t>Included</t>
  </si>
  <si>
    <t>Excluded</t>
  </si>
  <si>
    <t>Included on basis of % Faculty FTE - in instruction program relative to total in instruction, research, and public service.</t>
  </si>
  <si>
    <t>Included - % on basis of state-reported student FTE relative to total FTE and GOF/DOF faculty relative to total</t>
  </si>
  <si>
    <t>Hospitals</t>
  </si>
  <si>
    <t xml:space="preserve">Included </t>
  </si>
  <si>
    <t>Included on basis of GOF/DOF faculty as % of all faculty</t>
  </si>
  <si>
    <t>Included on basis of instructional space as % of instructional and research space</t>
  </si>
  <si>
    <t>Distribution by level</t>
  </si>
  <si>
    <t>%LD</t>
  </si>
  <si>
    <t>%UD</t>
  </si>
  <si>
    <t>%GR</t>
  </si>
  <si>
    <t>Distributed based on % faculty salary to each level.</t>
  </si>
  <si>
    <t>Distribured based on % faculty FTE to each level</t>
  </si>
  <si>
    <t>Distributed based on student FTE</t>
  </si>
  <si>
    <t>All to graduate/professional</t>
  </si>
  <si>
    <t>Distributed based on SCH by level</t>
  </si>
  <si>
    <t>Expenditures by Level</t>
  </si>
  <si>
    <t>Lower-Division</t>
  </si>
  <si>
    <t>Upper-Division</t>
  </si>
  <si>
    <t>Graduate</t>
  </si>
  <si>
    <t>Student FTE</t>
  </si>
  <si>
    <t>Expenditures/FTE</t>
  </si>
  <si>
    <t>College of Engineering</t>
  </si>
  <si>
    <t>FTE</t>
  </si>
  <si>
    <t>Nursing</t>
  </si>
  <si>
    <t>*This includes expenditures funded by state support, tuition revenue, and local sources of funds (DOF-LFA) that are used for instruction (including revenue remaining after expenses from Summer Quarter), as included in the "Core Education Budget" in the annual budget information given to the UW Regents.</t>
  </si>
  <si>
    <t>Average UG $/FTE</t>
  </si>
  <si>
    <t>Resident UG</t>
  </si>
  <si>
    <t>Nonresident UG</t>
  </si>
  <si>
    <t>Resident GR</t>
  </si>
  <si>
    <t>Nonresident GR</t>
  </si>
  <si>
    <t>Resident</t>
  </si>
  <si>
    <t>Nonresident</t>
  </si>
  <si>
    <t>Net Nonresident UG Tuition Level</t>
  </si>
  <si>
    <t>Net Nonresident GR Tuition Level</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</si>
</sst>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409]* #,##0_);_([$$-409]* \(#,##0\);_([$$-409]* &quot;-&quot;??_);_(@_)"/>
    <numFmt numFmtId="167" formatCode="&quot;$&quot;#,##0"/>
    <numFmt numFmtId="168" formatCode="0.0%"/>
  </numFmts>
  <fonts count="40"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sz val="10"/>
      <name val="Arial"/>
      <family val="2"/>
    </font>
    <font>
      <u val="singleAccounting"/>
      <sz val="11"/>
      <color theme="1"/>
      <name val="Calibri"/>
      <family val="2"/>
      <scheme val="minor"/>
    </font>
    <font>
      <b/>
      <sz val="12"/>
      <color rgb="FFFF0000"/>
      <name val="Calibri"/>
      <family val="2"/>
      <scheme val="minor"/>
    </font>
    <font>
      <sz val="8"/>
      <color indexed="81"/>
      <name val="Tahoma"/>
      <charset val="1"/>
    </font>
    <font>
      <b/>
      <sz val="8"/>
      <color indexed="81"/>
      <name val="Tahoma"/>
      <charset val="1"/>
    </font>
    <font>
      <b/>
      <sz val="13"/>
      <color theme="3"/>
      <name val="Calibri"/>
      <family val="2"/>
      <scheme val="minor"/>
    </font>
    <font>
      <b/>
      <sz val="15"/>
      <color theme="3"/>
      <name val="Calibri"/>
      <family val="2"/>
    </font>
    <font>
      <sz val="11"/>
      <color theme="1"/>
      <name val="Calibri"/>
      <family val="2"/>
    </font>
    <font>
      <b/>
      <sz val="11"/>
      <color theme="3"/>
      <name val="Calibri"/>
      <family val="2"/>
    </font>
    <font>
      <b/>
      <u/>
      <sz val="11"/>
      <color theme="1"/>
      <name val="Calibri"/>
      <family val="2"/>
    </font>
    <font>
      <b/>
      <sz val="11"/>
      <color theme="1"/>
      <name val="Calibri"/>
      <family val="2"/>
    </font>
    <font>
      <b/>
      <sz val="10"/>
      <color theme="1"/>
      <name val="Calibri"/>
      <family val="2"/>
      <scheme val="minor"/>
    </font>
    <font>
      <vertAlign val="superscript"/>
      <sz val="11"/>
      <color theme="1"/>
      <name val="Calibri"/>
      <family val="2"/>
    </font>
    <font>
      <sz val="10"/>
      <name val="Calibri"/>
      <family val="2"/>
      <scheme val="minor"/>
    </font>
    <font>
      <u val="singleAccounting"/>
      <sz val="11"/>
      <color theme="1"/>
      <name val="Calibri"/>
      <family val="2"/>
    </font>
    <font>
      <b/>
      <vertAlign val="superscript"/>
      <sz val="10"/>
      <color theme="1"/>
      <name val="Calibri"/>
      <family val="2"/>
    </font>
    <font>
      <sz val="10"/>
      <color theme="1"/>
      <name val="Century Gothic"/>
      <family val="2"/>
    </font>
    <font>
      <i/>
      <sz val="10"/>
      <color theme="1"/>
      <name val="Calibri"/>
      <family val="2"/>
    </font>
    <font>
      <b/>
      <u/>
      <sz val="11"/>
      <color theme="1"/>
      <name val="Calibri"/>
      <family val="2"/>
      <scheme val="minor"/>
    </font>
    <font>
      <b/>
      <sz val="10"/>
      <color theme="1"/>
      <name val="Century Gothic"/>
      <family val="2"/>
    </font>
    <font>
      <b/>
      <i/>
      <sz val="8"/>
      <color theme="1"/>
      <name val="Century Gothic"/>
      <family val="2"/>
    </font>
    <font>
      <i/>
      <sz val="8"/>
      <color theme="1"/>
      <name val="Century Gothic"/>
      <family val="2"/>
    </font>
    <font>
      <sz val="8"/>
      <color indexed="81"/>
      <name val="Tahoma"/>
      <family val="2"/>
    </font>
    <font>
      <b/>
      <sz val="8"/>
      <color indexed="81"/>
      <name val="Tahoma"/>
      <family val="2"/>
    </font>
    <font>
      <b/>
      <sz val="22"/>
      <color theme="1"/>
      <name val="Calibri"/>
      <family val="2"/>
      <scheme val="minor"/>
    </font>
    <font>
      <b/>
      <sz val="11"/>
      <name val="Calibri"/>
      <family val="2"/>
      <scheme val="minor"/>
    </font>
    <font>
      <b/>
      <u val="singleAccounting"/>
      <sz val="10"/>
      <name val="Calibri"/>
      <family val="2"/>
      <scheme val="minor"/>
    </font>
    <font>
      <b/>
      <sz val="10"/>
      <name val="Calibri"/>
      <family val="2"/>
      <scheme val="minor"/>
    </font>
    <font>
      <i/>
      <sz val="10"/>
      <name val="Calibri"/>
      <family val="2"/>
      <scheme val="minor"/>
    </font>
    <font>
      <sz val="9"/>
      <color indexed="81"/>
      <name val="Tahoma"/>
      <family val="2"/>
    </font>
    <font>
      <b/>
      <sz val="9"/>
      <color indexed="81"/>
      <name val="Tahoma"/>
      <family val="2"/>
    </font>
    <font>
      <sz val="11"/>
      <color indexed="8"/>
      <name val="Calibri"/>
      <family val="2"/>
    </font>
    <font>
      <sz val="10"/>
      <color indexed="8"/>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5" tint="0.79998168889431442"/>
        <bgColor indexed="64"/>
      </patternFill>
    </fill>
  </fills>
  <borders count="16">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medium">
        <color indexed="64"/>
      </bottom>
      <diagonal/>
    </border>
    <border>
      <left/>
      <right/>
      <top style="thin">
        <color indexed="64"/>
      </top>
      <bottom style="medium">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7" fillId="0" borderId="0"/>
    <xf numFmtId="0" fontId="12" fillId="0" borderId="3" applyNumberFormat="0" applyFill="0" applyAlignment="0" applyProtection="0"/>
    <xf numFmtId="0" fontId="13" fillId="0" borderId="2" applyNumberFormat="0" applyFill="0" applyAlignment="0" applyProtection="0"/>
    <xf numFmtId="0" fontId="14" fillId="0" borderId="0"/>
    <xf numFmtId="0" fontId="15" fillId="0" borderId="4" applyNumberFormat="0" applyFill="0" applyAlignment="0" applyProtection="0"/>
    <xf numFmtId="43" fontId="14"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7" fillId="0" borderId="0" applyFont="0" applyFill="0" applyBorder="0" applyAlignment="0" applyProtection="0"/>
    <xf numFmtId="9" fontId="7" fillId="0" borderId="0" applyFont="0" applyFill="0" applyBorder="0" applyAlignment="0" applyProtection="0"/>
    <xf numFmtId="0" fontId="39" fillId="0" borderId="0"/>
  </cellStyleXfs>
  <cellXfs count="217">
    <xf numFmtId="0" fontId="0" fillId="0" borderId="0" xfId="0"/>
    <xf numFmtId="164" fontId="0" fillId="0" borderId="0" xfId="1" applyNumberFormat="1" applyFont="1"/>
    <xf numFmtId="164" fontId="2" fillId="0" borderId="0" xfId="1" applyNumberFormat="1" applyFont="1" applyAlignment="1">
      <alignment horizontal="center"/>
    </xf>
    <xf numFmtId="164" fontId="0" fillId="0" borderId="1" xfId="1" applyNumberFormat="1" applyFont="1" applyBorder="1"/>
    <xf numFmtId="164" fontId="2" fillId="0" borderId="1" xfId="1" applyNumberFormat="1" applyFont="1" applyBorder="1" applyAlignment="1">
      <alignment horizontal="center" wrapText="1"/>
    </xf>
    <xf numFmtId="164" fontId="0" fillId="0" borderId="0" xfId="1" applyNumberFormat="1" applyFont="1" applyAlignment="1">
      <alignment horizontal="left" indent="2"/>
    </xf>
    <xf numFmtId="38" fontId="0" fillId="0" borderId="0" xfId="0" applyNumberFormat="1"/>
    <xf numFmtId="164" fontId="0" fillId="0" borderId="1" xfId="1" applyNumberFormat="1" applyFont="1" applyBorder="1" applyAlignment="1">
      <alignment horizontal="left" indent="2"/>
    </xf>
    <xf numFmtId="38" fontId="0" fillId="0" borderId="1" xfId="0" applyNumberFormat="1" applyBorder="1"/>
    <xf numFmtId="164" fontId="4" fillId="0" borderId="0" xfId="1" applyNumberFormat="1" applyFont="1"/>
    <xf numFmtId="165" fontId="4" fillId="0" borderId="0" xfId="2" applyNumberFormat="1" applyFont="1"/>
    <xf numFmtId="164" fontId="5" fillId="0" borderId="0" xfId="1" applyNumberFormat="1" applyFont="1"/>
    <xf numFmtId="164" fontId="0" fillId="0" borderId="0" xfId="1" applyNumberFormat="1" applyFont="1" applyAlignment="1">
      <alignment horizontal="left" vertical="center" wrapText="1"/>
    </xf>
    <xf numFmtId="10" fontId="0" fillId="0" borderId="0" xfId="3" applyNumberFormat="1" applyFont="1" applyAlignment="1">
      <alignment vertical="center"/>
    </xf>
    <xf numFmtId="164" fontId="0" fillId="0" borderId="0" xfId="1" applyNumberFormat="1" applyFont="1" applyAlignment="1">
      <alignment vertical="top"/>
    </xf>
    <xf numFmtId="164" fontId="2" fillId="0" borderId="1" xfId="1" applyNumberFormat="1" applyFont="1" applyBorder="1"/>
    <xf numFmtId="164" fontId="2" fillId="0" borderId="0" xfId="1" applyNumberFormat="1" applyFont="1"/>
    <xf numFmtId="164" fontId="2" fillId="0" borderId="0" xfId="1" applyNumberFormat="1" applyFont="1" applyBorder="1"/>
    <xf numFmtId="164" fontId="0" fillId="0" borderId="0" xfId="1" applyNumberFormat="1" applyFont="1"/>
    <xf numFmtId="164" fontId="0" fillId="0" borderId="1" xfId="1" applyNumberFormat="1" applyFont="1" applyBorder="1"/>
    <xf numFmtId="165" fontId="0" fillId="0" borderId="0" xfId="2" applyNumberFormat="1" applyFont="1"/>
    <xf numFmtId="164" fontId="4" fillId="2" borderId="0" xfId="1" applyNumberFormat="1" applyFont="1" applyFill="1"/>
    <xf numFmtId="165" fontId="4" fillId="2" borderId="0" xfId="2" applyNumberFormat="1" applyFont="1" applyFill="1"/>
    <xf numFmtId="164" fontId="5" fillId="0" borderId="0" xfId="1" applyNumberFormat="1" applyFont="1" applyAlignment="1">
      <alignment horizontal="left" vertical="center" wrapText="1"/>
    </xf>
    <xf numFmtId="10" fontId="5" fillId="0" borderId="0" xfId="3" applyNumberFormat="1" applyFont="1" applyAlignment="1">
      <alignment vertical="center"/>
    </xf>
    <xf numFmtId="164" fontId="5" fillId="0" borderId="0" xfId="1" applyNumberFormat="1" applyFont="1" applyAlignment="1">
      <alignment vertical="top"/>
    </xf>
    <xf numFmtId="164" fontId="4" fillId="0" borderId="0" xfId="1" applyNumberFormat="1" applyFont="1" applyFill="1"/>
    <xf numFmtId="165" fontId="4" fillId="0" borderId="0" xfId="2" applyNumberFormat="1" applyFont="1" applyFill="1"/>
    <xf numFmtId="164" fontId="2" fillId="0" borderId="0" xfId="1" applyNumberFormat="1" applyFont="1" applyFill="1"/>
    <xf numFmtId="164" fontId="0" fillId="0" borderId="0" xfId="1" applyNumberFormat="1" applyFont="1" applyFill="1"/>
    <xf numFmtId="164" fontId="0" fillId="0" borderId="0" xfId="1" applyNumberFormat="1" applyFont="1" applyAlignment="1">
      <alignment wrapText="1"/>
    </xf>
    <xf numFmtId="164" fontId="2" fillId="0" borderId="0" xfId="1" applyNumberFormat="1" applyFont="1" applyAlignment="1">
      <alignment horizontal="center" wrapText="1"/>
    </xf>
    <xf numFmtId="164" fontId="2" fillId="0" borderId="0" xfId="1" applyNumberFormat="1" applyFont="1" applyAlignment="1">
      <alignment wrapText="1"/>
    </xf>
    <xf numFmtId="0" fontId="2" fillId="2" borderId="0" xfId="0" applyFont="1" applyFill="1"/>
    <xf numFmtId="165" fontId="2" fillId="2" borderId="0" xfId="2" applyNumberFormat="1" applyFont="1" applyFill="1"/>
    <xf numFmtId="164" fontId="8" fillId="0" borderId="0" xfId="1" applyNumberFormat="1" applyFont="1"/>
    <xf numFmtId="164" fontId="2" fillId="0" borderId="0" xfId="1" applyNumberFormat="1" applyFont="1" applyAlignment="1">
      <alignment horizontal="center"/>
    </xf>
    <xf numFmtId="165" fontId="0" fillId="0" borderId="0" xfId="2" applyNumberFormat="1" applyFont="1" applyFill="1"/>
    <xf numFmtId="164" fontId="0" fillId="0" borderId="1" xfId="1" applyNumberFormat="1" applyFont="1" applyFill="1" applyBorder="1"/>
    <xf numFmtId="10" fontId="0" fillId="0" borderId="0" xfId="3" applyNumberFormat="1" applyFont="1" applyFill="1" applyAlignment="1">
      <alignment vertical="center"/>
    </xf>
    <xf numFmtId="166" fontId="0" fillId="0" borderId="0" xfId="1" applyNumberFormat="1" applyFont="1" applyFill="1"/>
    <xf numFmtId="166" fontId="8" fillId="0" borderId="0" xfId="1" applyNumberFormat="1" applyFont="1" applyFill="1"/>
    <xf numFmtId="164" fontId="2" fillId="0" borderId="1" xfId="1" applyNumberFormat="1" applyFont="1" applyFill="1" applyBorder="1"/>
    <xf numFmtId="165" fontId="4" fillId="2" borderId="0" xfId="2" applyNumberFormat="1" applyFont="1" applyFill="1" applyAlignment="1">
      <alignment horizontal="center"/>
    </xf>
    <xf numFmtId="165" fontId="9" fillId="2" borderId="0" xfId="2" applyNumberFormat="1" applyFont="1" applyFill="1"/>
    <xf numFmtId="43" fontId="4" fillId="0" borderId="0" xfId="1" applyFont="1" applyFill="1"/>
    <xf numFmtId="165" fontId="2" fillId="2" borderId="0" xfId="2" applyNumberFormat="1" applyFont="1" applyFill="1" applyAlignment="1">
      <alignment horizontal="center"/>
    </xf>
    <xf numFmtId="164" fontId="3" fillId="0" borderId="0" xfId="1" applyNumberFormat="1" applyFont="1" applyAlignment="1">
      <alignment horizontal="center"/>
    </xf>
    <xf numFmtId="164" fontId="2" fillId="0" borderId="0" xfId="1" applyNumberFormat="1" applyFont="1" applyAlignment="1">
      <alignment horizontal="center"/>
    </xf>
    <xf numFmtId="164" fontId="6" fillId="0" borderId="0" xfId="1" applyNumberFormat="1" applyFont="1" applyAlignment="1">
      <alignment horizontal="left" wrapText="1" indent="1"/>
    </xf>
    <xf numFmtId="0" fontId="14" fillId="0" borderId="0" xfId="7"/>
    <xf numFmtId="0" fontId="14" fillId="0" borderId="0" xfId="7" applyBorder="1"/>
    <xf numFmtId="0" fontId="15" fillId="0" borderId="4" xfId="8"/>
    <xf numFmtId="0" fontId="14" fillId="0" borderId="0" xfId="7" applyBorder="1" applyAlignment="1"/>
    <xf numFmtId="43" fontId="0" fillId="0" borderId="5" xfId="9" applyFont="1" applyBorder="1" applyAlignment="1">
      <alignment horizontal="center"/>
    </xf>
    <xf numFmtId="0" fontId="14" fillId="0" borderId="5" xfId="7" applyBorder="1" applyAlignment="1">
      <alignment horizontal="center"/>
    </xf>
    <xf numFmtId="0" fontId="14" fillId="0" borderId="0" xfId="7" applyBorder="1" applyAlignment="1">
      <alignment horizontal="center" wrapText="1"/>
    </xf>
    <xf numFmtId="0" fontId="14" fillId="0" borderId="0" xfId="7" applyBorder="1" applyAlignment="1">
      <alignment horizontal="center"/>
    </xf>
    <xf numFmtId="0" fontId="14" fillId="0" borderId="0" xfId="7" quotePrefix="1"/>
    <xf numFmtId="164" fontId="0" fillId="0" borderId="0" xfId="9" applyNumberFormat="1" applyFont="1"/>
    <xf numFmtId="43" fontId="0" fillId="0" borderId="0" xfId="9" applyFont="1" applyBorder="1"/>
    <xf numFmtId="43" fontId="14" fillId="0" borderId="0" xfId="7" applyNumberFormat="1" applyBorder="1"/>
    <xf numFmtId="43" fontId="14" fillId="0" borderId="0" xfId="7" applyNumberFormat="1"/>
    <xf numFmtId="164" fontId="0" fillId="0" borderId="6" xfId="9" applyNumberFormat="1" applyFont="1" applyBorder="1"/>
    <xf numFmtId="164" fontId="0" fillId="0" borderId="0" xfId="9" applyNumberFormat="1" applyFont="1" applyBorder="1"/>
    <xf numFmtId="164" fontId="15" fillId="0" borderId="4" xfId="9" applyNumberFormat="1" applyFont="1" applyBorder="1"/>
    <xf numFmtId="0" fontId="16" fillId="0" borderId="0" xfId="7" applyFont="1"/>
    <xf numFmtId="0" fontId="17" fillId="0" borderId="0" xfId="7" applyFont="1"/>
    <xf numFmtId="164" fontId="17" fillId="0" borderId="0" xfId="9" applyNumberFormat="1" applyFont="1" applyBorder="1"/>
    <xf numFmtId="164" fontId="17" fillId="0" borderId="7" xfId="9" applyNumberFormat="1" applyFont="1" applyBorder="1"/>
    <xf numFmtId="43" fontId="17" fillId="0" borderId="0" xfId="9" applyFont="1" applyBorder="1"/>
    <xf numFmtId="0" fontId="14" fillId="0" borderId="0" xfId="7" applyFont="1"/>
    <xf numFmtId="164" fontId="2" fillId="0" borderId="1" xfId="10" applyNumberFormat="1" applyFont="1" applyBorder="1"/>
    <xf numFmtId="164" fontId="2" fillId="0" borderId="1" xfId="10" applyNumberFormat="1" applyFont="1" applyFill="1" applyBorder="1"/>
    <xf numFmtId="164" fontId="2" fillId="0" borderId="0" xfId="10" applyNumberFormat="1" applyFont="1" applyBorder="1"/>
    <xf numFmtId="164" fontId="4" fillId="2" borderId="0" xfId="10" applyNumberFormat="1" applyFont="1" applyFill="1"/>
    <xf numFmtId="165" fontId="4" fillId="2" borderId="0" xfId="11" applyNumberFormat="1" applyFont="1" applyFill="1"/>
    <xf numFmtId="165" fontId="2" fillId="2" borderId="0" xfId="11" applyNumberFormat="1" applyFont="1" applyFill="1"/>
    <xf numFmtId="164" fontId="18" fillId="2" borderId="0" xfId="12" applyNumberFormat="1" applyFont="1" applyFill="1"/>
    <xf numFmtId="0" fontId="14" fillId="2" borderId="0" xfId="7" applyFill="1"/>
    <xf numFmtId="43" fontId="0" fillId="2" borderId="0" xfId="9" applyFont="1" applyFill="1" applyBorder="1"/>
    <xf numFmtId="164" fontId="20" fillId="0" borderId="0" xfId="12" applyNumberFormat="1" applyFont="1" applyFill="1"/>
    <xf numFmtId="0" fontId="14" fillId="0" borderId="0" xfId="7" applyFill="1"/>
    <xf numFmtId="43" fontId="0" fillId="0" borderId="0" xfId="9" applyFont="1" applyFill="1" applyBorder="1"/>
    <xf numFmtId="166" fontId="1" fillId="0" borderId="0" xfId="12" applyNumberFormat="1" applyFont="1" applyFill="1"/>
    <xf numFmtId="164" fontId="6" fillId="0" borderId="0" xfId="12" applyNumberFormat="1" applyFont="1" applyFill="1" applyBorder="1"/>
    <xf numFmtId="0" fontId="21" fillId="0" borderId="0" xfId="7" applyFont="1" applyFill="1" applyBorder="1"/>
    <xf numFmtId="43" fontId="21" fillId="0" borderId="0" xfId="9" applyFont="1" applyFill="1" applyBorder="1"/>
    <xf numFmtId="166" fontId="8" fillId="0" borderId="0" xfId="12" applyNumberFormat="1" applyFont="1" applyFill="1" applyBorder="1"/>
    <xf numFmtId="164" fontId="6" fillId="0" borderId="0" xfId="12" applyNumberFormat="1" applyFont="1" applyFill="1"/>
    <xf numFmtId="166" fontId="8" fillId="0" borderId="0" xfId="12" applyNumberFormat="1" applyFont="1" applyFill="1"/>
    <xf numFmtId="164" fontId="6" fillId="0" borderId="0" xfId="12" applyNumberFormat="1" applyFont="1"/>
    <xf numFmtId="164" fontId="18" fillId="0" borderId="0" xfId="12" applyNumberFormat="1" applyFont="1" applyFill="1"/>
    <xf numFmtId="165" fontId="2" fillId="0" borderId="0" xfId="11" applyNumberFormat="1" applyFont="1" applyFill="1"/>
    <xf numFmtId="0" fontId="23" fillId="0" borderId="0" xfId="13" applyFont="1" applyFill="1"/>
    <xf numFmtId="166" fontId="23" fillId="0" borderId="0" xfId="12" applyNumberFormat="1" applyFont="1" applyFill="1"/>
    <xf numFmtId="0" fontId="24" fillId="0" borderId="0" xfId="7" applyFont="1" applyAlignment="1">
      <alignment vertical="center"/>
    </xf>
    <xf numFmtId="0" fontId="14" fillId="0" borderId="0" xfId="7" applyAlignment="1">
      <alignment vertical="center"/>
    </xf>
    <xf numFmtId="0" fontId="12" fillId="0" borderId="3" xfId="5"/>
    <xf numFmtId="0" fontId="2" fillId="0" borderId="0" xfId="0" applyFont="1"/>
    <xf numFmtId="0" fontId="25" fillId="0" borderId="0" xfId="0" applyFont="1" applyAlignment="1">
      <alignment horizontal="center"/>
    </xf>
    <xf numFmtId="0" fontId="14" fillId="0" borderId="0" xfId="7" applyAlignment="1">
      <alignment wrapText="1"/>
    </xf>
    <xf numFmtId="0" fontId="26" fillId="2" borderId="0" xfId="13" applyFont="1" applyFill="1" applyAlignment="1">
      <alignment wrapText="1"/>
    </xf>
    <xf numFmtId="164" fontId="26" fillId="2" borderId="0" xfId="1" applyNumberFormat="1" applyFont="1" applyFill="1" applyAlignment="1">
      <alignment wrapText="1"/>
    </xf>
    <xf numFmtId="0" fontId="0" fillId="0" borderId="0" xfId="0" applyAlignment="1">
      <alignment wrapText="1"/>
    </xf>
    <xf numFmtId="0" fontId="23" fillId="0" borderId="0" xfId="13" applyFont="1" applyAlignment="1">
      <alignment wrapText="1"/>
    </xf>
    <xf numFmtId="164" fontId="23" fillId="0" borderId="0" xfId="1" applyNumberFormat="1" applyFont="1" applyAlignment="1">
      <alignment wrapText="1"/>
    </xf>
    <xf numFmtId="49" fontId="0" fillId="0" borderId="0" xfId="0" applyNumberFormat="1"/>
    <xf numFmtId="164" fontId="32" fillId="0" borderId="0" xfId="14" applyNumberFormat="1" applyFont="1" applyFill="1"/>
    <xf numFmtId="164" fontId="20" fillId="4" borderId="8" xfId="14" applyNumberFormat="1" applyFont="1" applyFill="1" applyBorder="1"/>
    <xf numFmtId="164" fontId="33" fillId="4" borderId="9" xfId="14" applyNumberFormat="1" applyFont="1" applyFill="1" applyBorder="1" applyAlignment="1">
      <alignment horizontal="center"/>
    </xf>
    <xf numFmtId="164" fontId="33" fillId="4" borderId="10" xfId="14" applyNumberFormat="1" applyFont="1" applyFill="1" applyBorder="1" applyAlignment="1">
      <alignment horizontal="center"/>
    </xf>
    <xf numFmtId="164" fontId="34" fillId="4" borderId="11" xfId="14" applyNumberFormat="1" applyFont="1" applyFill="1" applyBorder="1"/>
    <xf numFmtId="167" fontId="34" fillId="4" borderId="0" xfId="15" applyNumberFormat="1" applyFont="1" applyFill="1" applyBorder="1" applyAlignment="1">
      <alignment horizontal="right"/>
    </xf>
    <xf numFmtId="167" fontId="34" fillId="4" borderId="12" xfId="14" applyNumberFormat="1" applyFont="1" applyFill="1" applyBorder="1" applyAlignment="1">
      <alignment horizontal="right"/>
    </xf>
    <xf numFmtId="164" fontId="20" fillId="4" borderId="11" xfId="14" applyNumberFormat="1" applyFont="1" applyFill="1" applyBorder="1"/>
    <xf numFmtId="164" fontId="20" fillId="4" borderId="0" xfId="14" applyNumberFormat="1" applyFont="1" applyFill="1" applyBorder="1" applyAlignment="1">
      <alignment horizontal="right"/>
    </xf>
    <xf numFmtId="164" fontId="34" fillId="4" borderId="12" xfId="14" applyNumberFormat="1" applyFont="1" applyFill="1" applyBorder="1" applyAlignment="1">
      <alignment horizontal="right"/>
    </xf>
    <xf numFmtId="164" fontId="20" fillId="4" borderId="13" xfId="14" applyNumberFormat="1" applyFont="1" applyFill="1" applyBorder="1"/>
    <xf numFmtId="167" fontId="20" fillId="4" borderId="1" xfId="14" applyNumberFormat="1" applyFont="1" applyFill="1" applyBorder="1" applyAlignment="1">
      <alignment horizontal="right"/>
    </xf>
    <xf numFmtId="167" fontId="34" fillId="4" borderId="14" xfId="14" applyNumberFormat="1" applyFont="1" applyFill="1" applyBorder="1" applyAlignment="1">
      <alignment horizontal="right"/>
    </xf>
    <xf numFmtId="164" fontId="20" fillId="5" borderId="8" xfId="14" applyNumberFormat="1" applyFont="1" applyFill="1" applyBorder="1"/>
    <xf numFmtId="164" fontId="33" fillId="5" borderId="9" xfId="14" applyNumberFormat="1" applyFont="1" applyFill="1" applyBorder="1" applyAlignment="1">
      <alignment horizontal="center"/>
    </xf>
    <xf numFmtId="164" fontId="33" fillId="5" borderId="10" xfId="14" applyNumberFormat="1" applyFont="1" applyFill="1" applyBorder="1" applyAlignment="1">
      <alignment horizontal="center"/>
    </xf>
    <xf numFmtId="164" fontId="34" fillId="5" borderId="11" xfId="14" applyNumberFormat="1" applyFont="1" applyFill="1" applyBorder="1"/>
    <xf numFmtId="167" fontId="34" fillId="5" borderId="0" xfId="15" applyNumberFormat="1" applyFont="1" applyFill="1" applyBorder="1" applyAlignment="1">
      <alignment horizontal="right"/>
    </xf>
    <xf numFmtId="167" fontId="34" fillId="5" borderId="12" xfId="14" applyNumberFormat="1" applyFont="1" applyFill="1" applyBorder="1" applyAlignment="1">
      <alignment horizontal="right"/>
    </xf>
    <xf numFmtId="164" fontId="20" fillId="5" borderId="11" xfId="14" applyNumberFormat="1" applyFont="1" applyFill="1" applyBorder="1"/>
    <xf numFmtId="164" fontId="20" fillId="5" borderId="0" xfId="14" applyNumberFormat="1" applyFont="1" applyFill="1" applyBorder="1" applyAlignment="1">
      <alignment horizontal="right"/>
    </xf>
    <xf numFmtId="164" fontId="34" fillId="5" borderId="12" xfId="14" applyNumberFormat="1" applyFont="1" applyFill="1" applyBorder="1" applyAlignment="1">
      <alignment horizontal="right"/>
    </xf>
    <xf numFmtId="164" fontId="20" fillId="5" borderId="13" xfId="14" applyNumberFormat="1" applyFont="1" applyFill="1" applyBorder="1"/>
    <xf numFmtId="167" fontId="20" fillId="5" borderId="1" xfId="14" applyNumberFormat="1" applyFont="1" applyFill="1" applyBorder="1" applyAlignment="1">
      <alignment horizontal="right"/>
    </xf>
    <xf numFmtId="167" fontId="34" fillId="5" borderId="14" xfId="14" applyNumberFormat="1" applyFont="1" applyFill="1" applyBorder="1" applyAlignment="1">
      <alignment horizontal="right"/>
    </xf>
    <xf numFmtId="164" fontId="20" fillId="6" borderId="8" xfId="14" applyNumberFormat="1" applyFont="1" applyFill="1" applyBorder="1"/>
    <xf numFmtId="164" fontId="33" fillId="6" borderId="9" xfId="14" applyNumberFormat="1" applyFont="1" applyFill="1" applyBorder="1" applyAlignment="1">
      <alignment horizontal="center"/>
    </xf>
    <xf numFmtId="164" fontId="33" fillId="6" borderId="10" xfId="14" applyNumberFormat="1" applyFont="1" applyFill="1" applyBorder="1" applyAlignment="1">
      <alignment horizontal="center"/>
    </xf>
    <xf numFmtId="164" fontId="34" fillId="6" borderId="11" xfId="14" applyNumberFormat="1" applyFont="1" applyFill="1" applyBorder="1"/>
    <xf numFmtId="5" fontId="34" fillId="6" borderId="0" xfId="15" applyNumberFormat="1" applyFont="1" applyFill="1" applyBorder="1" applyAlignment="1">
      <alignment horizontal="right"/>
    </xf>
    <xf numFmtId="5" fontId="34" fillId="6" borderId="12" xfId="15" applyNumberFormat="1" applyFont="1" applyFill="1" applyBorder="1" applyAlignment="1">
      <alignment horizontal="right"/>
    </xf>
    <xf numFmtId="164" fontId="20" fillId="6" borderId="11" xfId="14" applyNumberFormat="1" applyFont="1" applyFill="1" applyBorder="1"/>
    <xf numFmtId="164" fontId="20" fillId="6" borderId="0" xfId="14" applyNumberFormat="1" applyFont="1" applyFill="1" applyBorder="1" applyAlignment="1">
      <alignment horizontal="right"/>
    </xf>
    <xf numFmtId="164" fontId="20" fillId="6" borderId="12" xfId="14" applyNumberFormat="1" applyFont="1" applyFill="1" applyBorder="1" applyAlignment="1">
      <alignment horizontal="right"/>
    </xf>
    <xf numFmtId="164" fontId="20" fillId="6" borderId="13" xfId="14" applyNumberFormat="1" applyFont="1" applyFill="1" applyBorder="1"/>
    <xf numFmtId="5" fontId="20" fillId="6" borderId="1" xfId="14" applyNumberFormat="1" applyFont="1" applyFill="1" applyBorder="1" applyAlignment="1">
      <alignment horizontal="right"/>
    </xf>
    <xf numFmtId="5" fontId="20" fillId="6" borderId="14" xfId="14" applyNumberFormat="1" applyFont="1" applyFill="1" applyBorder="1" applyAlignment="1">
      <alignment horizontal="right"/>
    </xf>
    <xf numFmtId="164" fontId="35" fillId="0" borderId="0" xfId="14" applyNumberFormat="1" applyFont="1" applyFill="1"/>
    <xf numFmtId="0" fontId="0" fillId="0" borderId="0" xfId="0" applyAlignment="1">
      <alignment horizontal="center" wrapText="1"/>
    </xf>
    <xf numFmtId="0" fontId="0" fillId="0" borderId="0" xfId="0" applyAlignment="1">
      <alignment horizontal="center"/>
    </xf>
    <xf numFmtId="9" fontId="0" fillId="0" borderId="0" xfId="0" applyNumberFormat="1"/>
    <xf numFmtId="168" fontId="0" fillId="0" borderId="0" xfId="0" applyNumberFormat="1"/>
    <xf numFmtId="164" fontId="20" fillId="3" borderId="8" xfId="14" applyNumberFormat="1" applyFont="1" applyFill="1" applyBorder="1"/>
    <xf numFmtId="164" fontId="33" fillId="3" borderId="9" xfId="14" applyNumberFormat="1" applyFont="1" applyFill="1" applyBorder="1" applyAlignment="1">
      <alignment horizontal="center"/>
    </xf>
    <xf numFmtId="164" fontId="33" fillId="3" borderId="10" xfId="14" applyNumberFormat="1" applyFont="1" applyFill="1" applyBorder="1" applyAlignment="1">
      <alignment horizontal="center"/>
    </xf>
    <xf numFmtId="164" fontId="34" fillId="3" borderId="11" xfId="14" applyNumberFormat="1" applyFont="1" applyFill="1" applyBorder="1"/>
    <xf numFmtId="167" fontId="34" fillId="3" borderId="0" xfId="15" applyNumberFormat="1" applyFont="1" applyFill="1" applyBorder="1" applyAlignment="1">
      <alignment horizontal="right"/>
    </xf>
    <xf numFmtId="167" fontId="34" fillId="3" borderId="12" xfId="14" applyNumberFormat="1" applyFont="1" applyFill="1" applyBorder="1" applyAlignment="1">
      <alignment horizontal="right"/>
    </xf>
    <xf numFmtId="164" fontId="20" fillId="3" borderId="11" xfId="14" applyNumberFormat="1" applyFont="1" applyFill="1" applyBorder="1"/>
    <xf numFmtId="164" fontId="20" fillId="3" borderId="0" xfId="14" applyNumberFormat="1" applyFont="1" applyFill="1" applyBorder="1" applyAlignment="1">
      <alignment horizontal="right"/>
    </xf>
    <xf numFmtId="164" fontId="34" fillId="3" borderId="12" xfId="14" applyNumberFormat="1" applyFont="1" applyFill="1" applyBorder="1" applyAlignment="1">
      <alignment horizontal="right"/>
    </xf>
    <xf numFmtId="164" fontId="20" fillId="3" borderId="13" xfId="14" applyNumberFormat="1" applyFont="1" applyFill="1" applyBorder="1"/>
    <xf numFmtId="167" fontId="20" fillId="3" borderId="1" xfId="14" applyNumberFormat="1" applyFont="1" applyFill="1" applyBorder="1" applyAlignment="1">
      <alignment horizontal="right"/>
    </xf>
    <xf numFmtId="167" fontId="34" fillId="3" borderId="14" xfId="14" applyNumberFormat="1" applyFont="1" applyFill="1" applyBorder="1" applyAlignment="1">
      <alignment horizontal="right"/>
    </xf>
    <xf numFmtId="164" fontId="20" fillId="7" borderId="8" xfId="14" applyNumberFormat="1" applyFont="1" applyFill="1" applyBorder="1"/>
    <xf numFmtId="164" fontId="33" fillId="7" borderId="9" xfId="14" applyNumberFormat="1" applyFont="1" applyFill="1" applyBorder="1" applyAlignment="1">
      <alignment horizontal="center"/>
    </xf>
    <xf numFmtId="164" fontId="33" fillId="7" borderId="10" xfId="14" applyNumberFormat="1" applyFont="1" applyFill="1" applyBorder="1" applyAlignment="1">
      <alignment horizontal="center"/>
    </xf>
    <xf numFmtId="164" fontId="34" fillId="7" borderId="11" xfId="14" applyNumberFormat="1" applyFont="1" applyFill="1" applyBorder="1"/>
    <xf numFmtId="167" fontId="34" fillId="7" borderId="0" xfId="15" applyNumberFormat="1" applyFont="1" applyFill="1" applyBorder="1" applyAlignment="1">
      <alignment horizontal="right"/>
    </xf>
    <xf numFmtId="167" fontId="34" fillId="7" borderId="12" xfId="14" applyNumberFormat="1" applyFont="1" applyFill="1" applyBorder="1" applyAlignment="1">
      <alignment horizontal="right"/>
    </xf>
    <xf numFmtId="164" fontId="20" fillId="7" borderId="11" xfId="14" applyNumberFormat="1" applyFont="1" applyFill="1" applyBorder="1"/>
    <xf numFmtId="164" fontId="20" fillId="7" borderId="0" xfId="14" applyNumberFormat="1" applyFont="1" applyFill="1" applyBorder="1" applyAlignment="1">
      <alignment horizontal="right"/>
    </xf>
    <xf numFmtId="164" fontId="34" fillId="7" borderId="12" xfId="14" applyNumberFormat="1" applyFont="1" applyFill="1" applyBorder="1" applyAlignment="1">
      <alignment horizontal="right"/>
    </xf>
    <xf numFmtId="164" fontId="20" fillId="7" borderId="13" xfId="14" applyNumberFormat="1" applyFont="1" applyFill="1" applyBorder="1"/>
    <xf numFmtId="167" fontId="20" fillId="7" borderId="1" xfId="14" applyNumberFormat="1" applyFont="1" applyFill="1" applyBorder="1" applyAlignment="1">
      <alignment horizontal="right"/>
    </xf>
    <xf numFmtId="167" fontId="34" fillId="7" borderId="14" xfId="14" applyNumberFormat="1" applyFont="1" applyFill="1" applyBorder="1" applyAlignment="1">
      <alignment horizontal="right"/>
    </xf>
    <xf numFmtId="164" fontId="20" fillId="8" borderId="8" xfId="14" applyNumberFormat="1" applyFont="1" applyFill="1" applyBorder="1"/>
    <xf numFmtId="164" fontId="33" fillId="8" borderId="9" xfId="14" applyNumberFormat="1" applyFont="1" applyFill="1" applyBorder="1" applyAlignment="1">
      <alignment horizontal="center"/>
    </xf>
    <xf numFmtId="164" fontId="33" fillId="8" borderId="10" xfId="14" applyNumberFormat="1" applyFont="1" applyFill="1" applyBorder="1" applyAlignment="1">
      <alignment horizontal="center"/>
    </xf>
    <xf numFmtId="164" fontId="34" fillId="8" borderId="11" xfId="14" applyNumberFormat="1" applyFont="1" applyFill="1" applyBorder="1"/>
    <xf numFmtId="5" fontId="34" fillId="8" borderId="0" xfId="15" applyNumberFormat="1" applyFont="1" applyFill="1" applyBorder="1" applyAlignment="1">
      <alignment horizontal="right"/>
    </xf>
    <xf numFmtId="5" fontId="34" fillId="8" borderId="12" xfId="15" applyNumberFormat="1" applyFont="1" applyFill="1" applyBorder="1" applyAlignment="1">
      <alignment horizontal="right"/>
    </xf>
    <xf numFmtId="164" fontId="20" fillId="8" borderId="11" xfId="14" applyNumberFormat="1" applyFont="1" applyFill="1" applyBorder="1"/>
    <xf numFmtId="164" fontId="20" fillId="8" borderId="0" xfId="14" applyNumberFormat="1" applyFont="1" applyFill="1" applyBorder="1" applyAlignment="1">
      <alignment horizontal="right"/>
    </xf>
    <xf numFmtId="164" fontId="20" fillId="8" borderId="12" xfId="14" applyNumberFormat="1" applyFont="1" applyFill="1" applyBorder="1" applyAlignment="1">
      <alignment horizontal="right"/>
    </xf>
    <xf numFmtId="164" fontId="20" fillId="8" borderId="13" xfId="14" applyNumberFormat="1" applyFont="1" applyFill="1" applyBorder="1"/>
    <xf numFmtId="5" fontId="20" fillId="8" borderId="1" xfId="14" applyNumberFormat="1" applyFont="1" applyFill="1" applyBorder="1" applyAlignment="1">
      <alignment horizontal="right"/>
    </xf>
    <xf numFmtId="5" fontId="20" fillId="8" borderId="14" xfId="14" applyNumberFormat="1" applyFont="1" applyFill="1" applyBorder="1" applyAlignment="1">
      <alignment horizontal="right"/>
    </xf>
    <xf numFmtId="167" fontId="0" fillId="0" borderId="0" xfId="0" applyNumberFormat="1"/>
    <xf numFmtId="164" fontId="33" fillId="3" borderId="0" xfId="14" applyNumberFormat="1" applyFont="1" applyFill="1" applyBorder="1" applyAlignment="1">
      <alignment horizontal="center"/>
    </xf>
    <xf numFmtId="0" fontId="0" fillId="0" borderId="0" xfId="0" applyAlignment="1">
      <alignment horizontal="left" wrapText="1"/>
    </xf>
    <xf numFmtId="0" fontId="2" fillId="0" borderId="15" xfId="0" applyFont="1" applyBorder="1" applyAlignment="1">
      <alignment vertical="center" wrapText="1"/>
    </xf>
    <xf numFmtId="0" fontId="2" fillId="0" borderId="15" xfId="0" applyFont="1" applyBorder="1" applyAlignment="1">
      <alignment horizontal="center" vertical="center" wrapText="1"/>
    </xf>
    <xf numFmtId="0" fontId="14" fillId="0" borderId="15" xfId="7" applyBorder="1"/>
    <xf numFmtId="164" fontId="38" fillId="0" borderId="15" xfId="1" applyNumberFormat="1" applyFont="1" applyFill="1" applyBorder="1" applyAlignment="1">
      <alignment vertical="center" wrapText="1"/>
    </xf>
    <xf numFmtId="9" fontId="38" fillId="0" borderId="15" xfId="16" applyNumberFormat="1" applyFont="1" applyFill="1" applyBorder="1" applyAlignment="1">
      <alignment horizontal="right" wrapText="1"/>
    </xf>
    <xf numFmtId="37" fontId="0" fillId="0" borderId="15" xfId="1" applyNumberFormat="1" applyFont="1" applyBorder="1"/>
    <xf numFmtId="37" fontId="0" fillId="0" borderId="0" xfId="0" applyNumberFormat="1"/>
    <xf numFmtId="0" fontId="2" fillId="0" borderId="15" xfId="0" applyFont="1" applyBorder="1" applyAlignment="1">
      <alignment vertical="center"/>
    </xf>
    <xf numFmtId="0" fontId="2" fillId="0" borderId="15" xfId="0" applyFont="1" applyBorder="1" applyAlignment="1">
      <alignment horizontal="center" vertical="center"/>
    </xf>
    <xf numFmtId="9" fontId="0" fillId="0" borderId="15" xfId="0" applyNumberFormat="1" applyBorder="1" applyAlignment="1">
      <alignment horizontal="center"/>
    </xf>
    <xf numFmtId="0" fontId="2" fillId="0" borderId="0" xfId="0" applyFont="1" applyAlignment="1">
      <alignment vertical="center"/>
    </xf>
    <xf numFmtId="164" fontId="0" fillId="0" borderId="15" xfId="1" applyNumberFormat="1" applyFont="1" applyBorder="1"/>
    <xf numFmtId="0" fontId="0" fillId="0" borderId="15" xfId="0" applyBorder="1"/>
    <xf numFmtId="164" fontId="0" fillId="0" borderId="15" xfId="0" applyNumberFormat="1" applyBorder="1"/>
    <xf numFmtId="164" fontId="0" fillId="0" borderId="0" xfId="0" applyNumberFormat="1"/>
    <xf numFmtId="0" fontId="2" fillId="0" borderId="15" xfId="0" applyFont="1" applyBorder="1"/>
    <xf numFmtId="167" fontId="0" fillId="0" borderId="15" xfId="0" applyNumberFormat="1" applyBorder="1"/>
    <xf numFmtId="164" fontId="38" fillId="0" borderId="15" xfId="1" applyNumberFormat="1" applyFont="1" applyFill="1" applyBorder="1" applyAlignment="1">
      <alignment horizontal="right" wrapText="1"/>
    </xf>
    <xf numFmtId="167" fontId="0" fillId="0" borderId="15" xfId="1" applyNumberFormat="1" applyFont="1" applyBorder="1"/>
    <xf numFmtId="0" fontId="0" fillId="0" borderId="0" xfId="7" applyFont="1"/>
    <xf numFmtId="0" fontId="0" fillId="0" borderId="0" xfId="0" applyAlignment="1">
      <alignment horizontal="left" wrapText="1"/>
    </xf>
    <xf numFmtId="0" fontId="31" fillId="0" borderId="0" xfId="0" applyFont="1" applyAlignment="1">
      <alignment horizontal="center"/>
    </xf>
    <xf numFmtId="0" fontId="13" fillId="0" borderId="0" xfId="6" applyFont="1" applyBorder="1" applyAlignment="1">
      <alignment horizontal="center"/>
    </xf>
    <xf numFmtId="0" fontId="24" fillId="0" borderId="0" xfId="7"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xf>
    <xf numFmtId="0" fontId="0" fillId="0" borderId="0" xfId="0" applyAlignment="1">
      <alignment vertical="center" wrapText="1"/>
    </xf>
  </cellXfs>
  <cellStyles count="17">
    <cellStyle name="Comma" xfId="1" builtinId="3"/>
    <cellStyle name="Comma 2" xfId="14"/>
    <cellStyle name="Comma 2 2" xfId="12"/>
    <cellStyle name="Comma 3" xfId="9"/>
    <cellStyle name="Comma 3 2" xfId="10"/>
    <cellStyle name="Currency" xfId="2" builtinId="4"/>
    <cellStyle name="Currency 2" xfId="11"/>
    <cellStyle name="Heading 1 2" xfId="6"/>
    <cellStyle name="Heading 2" xfId="5" builtinId="17"/>
    <cellStyle name="Heading 3 2" xfId="8"/>
    <cellStyle name="Normal" xfId="0" builtinId="0"/>
    <cellStyle name="Normal 2" xfId="4"/>
    <cellStyle name="Normal 3 2" xfId="13"/>
    <cellStyle name="Normal 4" xfId="7"/>
    <cellStyle name="Normal_UWGOFDOF" xfId="16"/>
    <cellStyle name="Percent" xfId="3" builtinId="5"/>
    <cellStyle name="Percent 2"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1"/>
    </mc:Choice>
    <mc:Fallback>
      <c:style val="11"/>
    </mc:Fallback>
  </mc:AlternateContent>
  <c:chart>
    <c:title>
      <c:tx>
        <c:rich>
          <a:bodyPr/>
          <a:lstStyle/>
          <a:p>
            <a:pPr>
              <a:defRPr/>
            </a:pPr>
            <a:r>
              <a:rPr lang="en-US" sz="1200"/>
              <a:t>College Expenditures by Mission Area</a:t>
            </a:r>
            <a:br>
              <a:rPr lang="en-US" sz="1200"/>
            </a:br>
            <a:r>
              <a:rPr lang="en-US" sz="1000"/>
              <a:t>FY 2011 Tuition and State Appropriated Funds</a:t>
            </a:r>
            <a:br>
              <a:rPr lang="en-US" sz="1000"/>
            </a:br>
            <a:r>
              <a:rPr lang="en-US" sz="1000"/>
              <a:t>Total: $944</a:t>
            </a:r>
            <a:r>
              <a:rPr lang="en-US" sz="1000" baseline="0"/>
              <a:t> million</a:t>
            </a:r>
            <a:endParaRPr lang="en-US" sz="1000"/>
          </a:p>
        </c:rich>
      </c:tx>
      <c:layout>
        <c:manualLayout>
          <c:xMode val="edge"/>
          <c:yMode val="edge"/>
          <c:x val="0.32266654836106584"/>
          <c:y val="1.9698884054894519E-2"/>
        </c:manualLayout>
      </c:layout>
      <c:overlay val="0"/>
    </c:title>
    <c:autoTitleDeleted val="0"/>
    <c:plotArea>
      <c:layout>
        <c:manualLayout>
          <c:layoutTarget val="inner"/>
          <c:xMode val="edge"/>
          <c:yMode val="edge"/>
          <c:x val="0.27024958948144107"/>
          <c:y val="0.19796820411942601"/>
          <c:w val="0.45950100236156965"/>
          <c:h val="0.6088125050151042"/>
        </c:manualLayout>
      </c:layout>
      <c:pieChart>
        <c:varyColors val="1"/>
        <c:ser>
          <c:idx val="0"/>
          <c:order val="0"/>
          <c:dLbls>
            <c:dLbl>
              <c:idx val="0"/>
              <c:layout>
                <c:manualLayout>
                  <c:x val="-0.13922510205262134"/>
                  <c:y val="4.1492187143387184E-2"/>
                </c:manualLayout>
              </c:layout>
              <c:tx>
                <c:rich>
                  <a:bodyPr/>
                  <a:lstStyle/>
                  <a:p>
                    <a:r>
                      <a:rPr lang="en-US" sz="1000">
                        <a:solidFill>
                          <a:schemeClr val="bg1"/>
                        </a:solidFill>
                      </a:rPr>
                      <a:t>$404 m </a:t>
                    </a:r>
                    <a:br>
                      <a:rPr lang="en-US" sz="1000">
                        <a:solidFill>
                          <a:schemeClr val="bg1"/>
                        </a:solidFill>
                      </a:rPr>
                    </a:br>
                    <a:r>
                      <a:rPr lang="en-US" sz="1000">
                        <a:solidFill>
                          <a:schemeClr val="bg1"/>
                        </a:solidFill>
                      </a:rPr>
                      <a:t>43%</a:t>
                    </a:r>
                  </a:p>
                </c:rich>
              </c:tx>
              <c:showLegendKey val="0"/>
              <c:showVal val="1"/>
              <c:showCatName val="0"/>
              <c:showSerName val="0"/>
              <c:showPercent val="1"/>
              <c:showBubbleSize val="0"/>
            </c:dLbl>
            <c:dLbl>
              <c:idx val="1"/>
              <c:layout>
                <c:manualLayout>
                  <c:x val="-2.2515877192046559E-2"/>
                  <c:y val="-0.14053370015949723"/>
                </c:manualLayout>
              </c:layout>
              <c:tx>
                <c:rich>
                  <a:bodyPr/>
                  <a:lstStyle/>
                  <a:p>
                    <a:r>
                      <a:rPr lang="en-US" sz="1000">
                        <a:solidFill>
                          <a:schemeClr val="bg1"/>
                        </a:solidFill>
                      </a:rPr>
                      <a:t>$90 m </a:t>
                    </a:r>
                    <a:br>
                      <a:rPr lang="en-US" sz="1000">
                        <a:solidFill>
                          <a:schemeClr val="bg1"/>
                        </a:solidFill>
                      </a:rPr>
                    </a:br>
                    <a:r>
                      <a:rPr lang="en-US" sz="1000">
                        <a:solidFill>
                          <a:schemeClr val="bg1"/>
                        </a:solidFill>
                      </a:rPr>
                      <a:t>10%</a:t>
                    </a:r>
                  </a:p>
                </c:rich>
              </c:tx>
              <c:showLegendKey val="0"/>
              <c:showVal val="1"/>
              <c:showCatName val="0"/>
              <c:showSerName val="0"/>
              <c:showPercent val="1"/>
              <c:showBubbleSize val="0"/>
            </c:dLbl>
            <c:dLbl>
              <c:idx val="2"/>
              <c:layout>
                <c:manualLayout>
                  <c:x val="5.3731568333558896E-2"/>
                  <c:y val="-0.13945945730350001"/>
                </c:manualLayout>
              </c:layout>
              <c:tx>
                <c:rich>
                  <a:bodyPr/>
                  <a:lstStyle/>
                  <a:p>
                    <a:r>
                      <a:rPr lang="en-US" sz="1000"/>
                      <a:t>$72 m </a:t>
                    </a:r>
                    <a:br>
                      <a:rPr lang="en-US" sz="1000"/>
                    </a:br>
                    <a:r>
                      <a:rPr lang="en-US" sz="1000"/>
                      <a:t>8%</a:t>
                    </a:r>
                  </a:p>
                </c:rich>
              </c:tx>
              <c:showLegendKey val="0"/>
              <c:showVal val="1"/>
              <c:showCatName val="0"/>
              <c:showSerName val="0"/>
              <c:showPercent val="1"/>
              <c:showBubbleSize val="0"/>
            </c:dLbl>
            <c:dLbl>
              <c:idx val="3"/>
              <c:layout>
                <c:manualLayout>
                  <c:x val="0.14365720989341826"/>
                  <c:y val="5.7752740670949793E-2"/>
                </c:manualLayout>
              </c:layout>
              <c:tx>
                <c:rich>
                  <a:bodyPr/>
                  <a:lstStyle/>
                  <a:p>
                    <a:r>
                      <a:rPr lang="en-US" sz="1000"/>
                      <a:t>$378</a:t>
                    </a:r>
                    <a:r>
                      <a:rPr lang="en-US" sz="1000" baseline="0"/>
                      <a:t> m</a:t>
                    </a:r>
                    <a:r>
                      <a:rPr lang="en-US" sz="1000"/>
                      <a:t> </a:t>
                    </a:r>
                    <a:br>
                      <a:rPr lang="en-US" sz="1000"/>
                    </a:br>
                    <a:r>
                      <a:rPr lang="en-US" sz="1000"/>
                      <a:t>40%</a:t>
                    </a:r>
                  </a:p>
                </c:rich>
              </c:tx>
              <c:showLegendKey val="0"/>
              <c:showVal val="1"/>
              <c:showCatName val="0"/>
              <c:showSerName val="0"/>
              <c:showPercent val="1"/>
              <c:showBubbleSize val="0"/>
            </c:dLbl>
            <c:txPr>
              <a:bodyPr/>
              <a:lstStyle/>
              <a:p>
                <a:pPr>
                  <a:defRPr sz="1000" b="1"/>
                </a:pPr>
                <a:endParaRPr lang="en-US"/>
              </a:p>
            </c:txPr>
            <c:showLegendKey val="0"/>
            <c:showVal val="1"/>
            <c:showCatName val="0"/>
            <c:showSerName val="0"/>
            <c:showPercent val="1"/>
            <c:showBubbleSize val="0"/>
            <c:showLeaderLines val="1"/>
          </c:dLbls>
          <c:cat>
            <c:strRef>
              <c:f>'[3]Total $ by Mission'!$B$28:$E$28</c:f>
              <c:strCache>
                <c:ptCount val="4"/>
                <c:pt idx="0">
                  <c:v>Academic</c:v>
                </c:pt>
                <c:pt idx="1">
                  <c:v>Basic Skills</c:v>
                </c:pt>
                <c:pt idx="2">
                  <c:v>Pre-College</c:v>
                </c:pt>
                <c:pt idx="3">
                  <c:v>Vocational</c:v>
                </c:pt>
              </c:strCache>
            </c:strRef>
          </c:cat>
          <c:val>
            <c:numRef>
              <c:f>'[3]Total $ by Mission'!$B$29:$E$29</c:f>
              <c:numCache>
                <c:formatCode>General</c:formatCode>
                <c:ptCount val="4"/>
                <c:pt idx="0">
                  <c:v>403714430.82926428</c:v>
                </c:pt>
                <c:pt idx="1">
                  <c:v>89764722.52528353</c:v>
                </c:pt>
                <c:pt idx="2">
                  <c:v>71759568.990133852</c:v>
                </c:pt>
                <c:pt idx="3">
                  <c:v>378339856.65531832</c:v>
                </c:pt>
              </c:numCache>
            </c:numRef>
          </c:val>
        </c:ser>
        <c:dLbls>
          <c:showLegendKey val="0"/>
          <c:showVal val="0"/>
          <c:showCatName val="0"/>
          <c:showSerName val="0"/>
          <c:showPercent val="1"/>
          <c:showBubbleSize val="0"/>
          <c:showLeaderLines val="1"/>
        </c:dLbls>
        <c:firstSliceAng val="0"/>
      </c:pieChart>
    </c:plotArea>
    <c:legend>
      <c:legendPos val="b"/>
      <c:overlay val="0"/>
      <c:txPr>
        <a:bodyPr/>
        <a:lstStyle/>
        <a:p>
          <a:pPr>
            <a:defRPr sz="1200"/>
          </a:pPr>
          <a:endParaRPr lang="en-US"/>
        </a:p>
      </c:txPr>
    </c:legend>
    <c:plotVisOnly val="1"/>
    <c:dispBlanksAs val="zero"/>
    <c:showDLblsOverMax val="0"/>
  </c:chart>
  <c:printSettings>
    <c:headerFooter/>
    <c:pageMargins b="0.75000000000000266" l="0.70000000000000062" r="0.70000000000000062" t="0.750000000000002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title>
      <c:tx>
        <c:rich>
          <a:bodyPr/>
          <a:lstStyle/>
          <a:p>
            <a:pPr>
              <a:defRPr/>
            </a:pPr>
            <a:r>
              <a:rPr lang="en-US" sz="1200">
                <a:solidFill>
                  <a:sysClr val="windowText" lastClr="000000"/>
                </a:solidFill>
              </a:rPr>
              <a:t>College Expenditures</a:t>
            </a:r>
            <a:r>
              <a:rPr lang="en-US" sz="1200" baseline="0">
                <a:solidFill>
                  <a:sysClr val="windowText" lastClr="000000"/>
                </a:solidFill>
              </a:rPr>
              <a:t> by Mission Area</a:t>
            </a:r>
            <a:br>
              <a:rPr lang="en-US" sz="1200" baseline="0">
                <a:solidFill>
                  <a:sysClr val="windowText" lastClr="000000"/>
                </a:solidFill>
              </a:rPr>
            </a:br>
            <a:r>
              <a:rPr lang="en-US" sz="1000" baseline="0">
                <a:solidFill>
                  <a:sysClr val="windowText" lastClr="000000"/>
                </a:solidFill>
              </a:rPr>
              <a:t>FY 2012 State Appropriated Funds</a:t>
            </a:r>
            <a:br>
              <a:rPr lang="en-US" sz="1000" baseline="0">
                <a:solidFill>
                  <a:sysClr val="windowText" lastClr="000000"/>
                </a:solidFill>
              </a:rPr>
            </a:br>
            <a:r>
              <a:rPr lang="en-US" sz="1000" baseline="0">
                <a:solidFill>
                  <a:sysClr val="windowText" lastClr="000000"/>
                </a:solidFill>
              </a:rPr>
              <a:t>Total: $562 million</a:t>
            </a:r>
            <a:endParaRPr lang="en-US" sz="1000">
              <a:solidFill>
                <a:sysClr val="windowText" lastClr="000000"/>
              </a:solidFill>
            </a:endParaRPr>
          </a:p>
        </c:rich>
      </c:tx>
      <c:overlay val="0"/>
    </c:title>
    <c:autoTitleDeleted val="0"/>
    <c:plotArea>
      <c:layout>
        <c:manualLayout>
          <c:layoutTarget val="inner"/>
          <c:xMode val="edge"/>
          <c:yMode val="edge"/>
          <c:x val="0.28303715934988238"/>
          <c:y val="0.16775815964180948"/>
          <c:w val="0.4477903173715071"/>
          <c:h val="0.6079412073490873"/>
        </c:manualLayout>
      </c:layout>
      <c:pieChart>
        <c:varyColors val="1"/>
        <c:ser>
          <c:idx val="0"/>
          <c:order val="0"/>
          <c:dLbls>
            <c:dLbl>
              <c:idx val="0"/>
              <c:layout>
                <c:manualLayout>
                  <c:x val="-0.13015114781796824"/>
                  <c:y val="4.3785233367568177E-2"/>
                </c:manualLayout>
              </c:layout>
              <c:tx>
                <c:rich>
                  <a:bodyPr/>
                  <a:lstStyle/>
                  <a:p>
                    <a:r>
                      <a:rPr lang="en-US" sz="1000">
                        <a:solidFill>
                          <a:schemeClr val="bg1"/>
                        </a:solidFill>
                      </a:rPr>
                      <a:t>$239 m</a:t>
                    </a:r>
                    <a:br>
                      <a:rPr lang="en-US" sz="1000">
                        <a:solidFill>
                          <a:schemeClr val="bg1"/>
                        </a:solidFill>
                      </a:rPr>
                    </a:br>
                    <a:r>
                      <a:rPr lang="en-US" sz="1000">
                        <a:solidFill>
                          <a:schemeClr val="bg1"/>
                        </a:solidFill>
                      </a:rPr>
                      <a:t> 43%</a:t>
                    </a:r>
                  </a:p>
                </c:rich>
              </c:tx>
              <c:showLegendKey val="0"/>
              <c:showVal val="1"/>
              <c:showCatName val="0"/>
              <c:showSerName val="0"/>
              <c:showPercent val="1"/>
              <c:showBubbleSize val="0"/>
            </c:dLbl>
            <c:dLbl>
              <c:idx val="1"/>
              <c:layout>
                <c:manualLayout>
                  <c:x val="-2.2680211722594351E-2"/>
                  <c:y val="-0.13005089581193671"/>
                </c:manualLayout>
              </c:layout>
              <c:tx>
                <c:rich>
                  <a:bodyPr/>
                  <a:lstStyle/>
                  <a:p>
                    <a:pPr>
                      <a:defRPr sz="1000" b="1">
                        <a:solidFill>
                          <a:schemeClr val="bg1"/>
                        </a:solidFill>
                      </a:defRPr>
                    </a:pPr>
                    <a:r>
                      <a:rPr lang="en-US" sz="1000">
                        <a:solidFill>
                          <a:schemeClr val="bg1"/>
                        </a:solidFill>
                      </a:rPr>
                      <a:t>$53 m</a:t>
                    </a:r>
                    <a:br>
                      <a:rPr lang="en-US" sz="1000">
                        <a:solidFill>
                          <a:schemeClr val="bg1"/>
                        </a:solidFill>
                      </a:rPr>
                    </a:br>
                    <a:r>
                      <a:rPr lang="en-US" sz="1000">
                        <a:solidFill>
                          <a:schemeClr val="bg1"/>
                        </a:solidFill>
                      </a:rPr>
                      <a:t>10%</a:t>
                    </a:r>
                  </a:p>
                </c:rich>
              </c:tx>
              <c:spPr/>
              <c:showLegendKey val="0"/>
              <c:showVal val="1"/>
              <c:showCatName val="0"/>
              <c:showSerName val="0"/>
              <c:showPercent val="1"/>
              <c:showBubbleSize val="0"/>
            </c:dLbl>
            <c:dLbl>
              <c:idx val="2"/>
              <c:layout>
                <c:manualLayout>
                  <c:x val="5.4050188917143138E-2"/>
                  <c:y val="-0.11164007759899575"/>
                </c:manualLayout>
              </c:layout>
              <c:tx>
                <c:rich>
                  <a:bodyPr/>
                  <a:lstStyle/>
                  <a:p>
                    <a:r>
                      <a:rPr lang="en-US" sz="1000"/>
                      <a:t>$45 m</a:t>
                    </a:r>
                    <a:br>
                      <a:rPr lang="en-US" sz="1000"/>
                    </a:br>
                    <a:r>
                      <a:rPr lang="en-US" sz="1000"/>
                      <a:t>8%</a:t>
                    </a:r>
                  </a:p>
                </c:rich>
              </c:tx>
              <c:showLegendKey val="0"/>
              <c:showVal val="1"/>
              <c:showCatName val="0"/>
              <c:showSerName val="0"/>
              <c:showPercent val="1"/>
              <c:showBubbleSize val="0"/>
            </c:dLbl>
            <c:dLbl>
              <c:idx val="3"/>
              <c:layout>
                <c:manualLayout>
                  <c:x val="0.12277301312618054"/>
                  <c:y val="7.0181901175396494E-2"/>
                </c:manualLayout>
              </c:layout>
              <c:tx>
                <c:rich>
                  <a:bodyPr/>
                  <a:lstStyle/>
                  <a:p>
                    <a:r>
                      <a:rPr lang="en-US" sz="1000"/>
                      <a:t>$224 m</a:t>
                    </a:r>
                    <a:br>
                      <a:rPr lang="en-US" sz="1000"/>
                    </a:br>
                    <a:r>
                      <a:rPr lang="en-US" sz="1000"/>
                      <a:t> 40%</a:t>
                    </a:r>
                  </a:p>
                </c:rich>
              </c:tx>
              <c:showLegendKey val="0"/>
              <c:showVal val="1"/>
              <c:showCatName val="0"/>
              <c:showSerName val="0"/>
              <c:showPercent val="1"/>
              <c:showBubbleSize val="0"/>
            </c:dLbl>
            <c:txPr>
              <a:bodyPr/>
              <a:lstStyle/>
              <a:p>
                <a:pPr>
                  <a:defRPr sz="1000" b="1"/>
                </a:pPr>
                <a:endParaRPr lang="en-US"/>
              </a:p>
            </c:txPr>
            <c:showLegendKey val="0"/>
            <c:showVal val="1"/>
            <c:showCatName val="0"/>
            <c:showSerName val="0"/>
            <c:showPercent val="1"/>
            <c:showBubbleSize val="0"/>
            <c:showLeaderLines val="1"/>
          </c:dLbls>
          <c:cat>
            <c:strRef>
              <c:f>'[4]State $ by Mission'!$B$28:$E$28</c:f>
              <c:strCache>
                <c:ptCount val="4"/>
                <c:pt idx="0">
                  <c:v>Academic</c:v>
                </c:pt>
                <c:pt idx="1">
                  <c:v>Basic Skills</c:v>
                </c:pt>
                <c:pt idx="2">
                  <c:v>Pre-College</c:v>
                </c:pt>
                <c:pt idx="3">
                  <c:v>Vocational</c:v>
                </c:pt>
              </c:strCache>
            </c:strRef>
          </c:cat>
          <c:val>
            <c:numRef>
              <c:f>'[4]State $ by Mission'!$B$29:$E$29</c:f>
              <c:numCache>
                <c:formatCode>General</c:formatCode>
                <c:ptCount val="4"/>
                <c:pt idx="0">
                  <c:v>239378033.06508595</c:v>
                </c:pt>
                <c:pt idx="1">
                  <c:v>53449050.142148547</c:v>
                </c:pt>
                <c:pt idx="2">
                  <c:v>44854481.888471395</c:v>
                </c:pt>
                <c:pt idx="3">
                  <c:v>223926015.95429415</c:v>
                </c:pt>
              </c:numCache>
            </c:numRef>
          </c:val>
        </c:ser>
        <c:dLbls>
          <c:showLegendKey val="0"/>
          <c:showVal val="0"/>
          <c:showCatName val="0"/>
          <c:showSerName val="0"/>
          <c:showPercent val="1"/>
          <c:showBubbleSize val="0"/>
          <c:showLeaderLines val="1"/>
        </c:dLbls>
        <c:firstSliceAng val="0"/>
      </c:pieChart>
    </c:plotArea>
    <c:legend>
      <c:legendPos val="b"/>
      <c:overlay val="0"/>
    </c:legend>
    <c:plotVisOnly val="1"/>
    <c:dispBlanksAs val="zero"/>
    <c:showDLblsOverMax val="0"/>
  </c:chart>
  <c:printSettings>
    <c:headerFooter/>
    <c:pageMargins b="0.75000000000000222" l="0.70000000000000062" r="0.70000000000000062" t="0.750000000000002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title>
      <c:tx>
        <c:rich>
          <a:bodyPr/>
          <a:lstStyle/>
          <a:p>
            <a:pPr>
              <a:defRPr/>
            </a:pPr>
            <a:r>
              <a:rPr lang="en-US" sz="1200">
                <a:solidFill>
                  <a:sysClr val="windowText" lastClr="000000"/>
                </a:solidFill>
              </a:rPr>
              <a:t>College Expenditures</a:t>
            </a:r>
            <a:r>
              <a:rPr lang="en-US" sz="1200" baseline="0">
                <a:solidFill>
                  <a:sysClr val="windowText" lastClr="000000"/>
                </a:solidFill>
              </a:rPr>
              <a:t> by Mission Area</a:t>
            </a:r>
            <a:br>
              <a:rPr lang="en-US" sz="1200" baseline="0">
                <a:solidFill>
                  <a:sysClr val="windowText" lastClr="000000"/>
                </a:solidFill>
              </a:rPr>
            </a:br>
            <a:r>
              <a:rPr lang="en-US" sz="1000" baseline="0">
                <a:solidFill>
                  <a:sysClr val="windowText" lastClr="000000"/>
                </a:solidFill>
              </a:rPr>
              <a:t>FY 2012 State Appropriated Funds</a:t>
            </a:r>
            <a:br>
              <a:rPr lang="en-US" sz="1000" baseline="0">
                <a:solidFill>
                  <a:sysClr val="windowText" lastClr="000000"/>
                </a:solidFill>
              </a:rPr>
            </a:br>
            <a:r>
              <a:rPr lang="en-US" sz="1000" baseline="0">
                <a:solidFill>
                  <a:sysClr val="windowText" lastClr="000000"/>
                </a:solidFill>
              </a:rPr>
              <a:t>Total: $562 million</a:t>
            </a:r>
            <a:endParaRPr lang="en-US" sz="1000">
              <a:solidFill>
                <a:sysClr val="windowText" lastClr="000000"/>
              </a:solidFill>
            </a:endParaRPr>
          </a:p>
        </c:rich>
      </c:tx>
      <c:overlay val="0"/>
    </c:title>
    <c:autoTitleDeleted val="0"/>
    <c:plotArea>
      <c:layout>
        <c:manualLayout>
          <c:layoutTarget val="inner"/>
          <c:xMode val="edge"/>
          <c:yMode val="edge"/>
          <c:x val="0.28303715934988238"/>
          <c:y val="0.16775815964180948"/>
          <c:w val="0.4477903173715071"/>
          <c:h val="0.60794120734908697"/>
        </c:manualLayout>
      </c:layout>
      <c:pieChart>
        <c:varyColors val="1"/>
        <c:ser>
          <c:idx val="0"/>
          <c:order val="0"/>
          <c:dLbls>
            <c:dLbl>
              <c:idx val="0"/>
              <c:layout>
                <c:manualLayout>
                  <c:x val="-0.13015114781796824"/>
                  <c:y val="4.3785233367568177E-2"/>
                </c:manualLayout>
              </c:layout>
              <c:tx>
                <c:rich>
                  <a:bodyPr/>
                  <a:lstStyle/>
                  <a:p>
                    <a:r>
                      <a:rPr lang="en-US" sz="1000">
                        <a:solidFill>
                          <a:schemeClr val="bg1"/>
                        </a:solidFill>
                      </a:rPr>
                      <a:t>$239 m</a:t>
                    </a:r>
                    <a:br>
                      <a:rPr lang="en-US" sz="1000">
                        <a:solidFill>
                          <a:schemeClr val="bg1"/>
                        </a:solidFill>
                      </a:rPr>
                    </a:br>
                    <a:r>
                      <a:rPr lang="en-US" sz="1000">
                        <a:solidFill>
                          <a:schemeClr val="bg1"/>
                        </a:solidFill>
                      </a:rPr>
                      <a:t> 43%</a:t>
                    </a:r>
                  </a:p>
                </c:rich>
              </c:tx>
              <c:showLegendKey val="0"/>
              <c:showVal val="1"/>
              <c:showCatName val="0"/>
              <c:showSerName val="0"/>
              <c:showPercent val="1"/>
              <c:showBubbleSize val="0"/>
            </c:dLbl>
            <c:dLbl>
              <c:idx val="1"/>
              <c:layout>
                <c:manualLayout>
                  <c:x val="-2.2680211722594337E-2"/>
                  <c:y val="-0.13005089581193671"/>
                </c:manualLayout>
              </c:layout>
              <c:tx>
                <c:rich>
                  <a:bodyPr/>
                  <a:lstStyle/>
                  <a:p>
                    <a:pPr>
                      <a:defRPr sz="1000" b="1">
                        <a:solidFill>
                          <a:schemeClr val="bg1"/>
                        </a:solidFill>
                      </a:defRPr>
                    </a:pPr>
                    <a:r>
                      <a:rPr lang="en-US" sz="1000">
                        <a:solidFill>
                          <a:schemeClr val="bg1"/>
                        </a:solidFill>
                      </a:rPr>
                      <a:t>$53 m</a:t>
                    </a:r>
                    <a:br>
                      <a:rPr lang="en-US" sz="1000">
                        <a:solidFill>
                          <a:schemeClr val="bg1"/>
                        </a:solidFill>
                      </a:rPr>
                    </a:br>
                    <a:r>
                      <a:rPr lang="en-US" sz="1000">
                        <a:solidFill>
                          <a:schemeClr val="bg1"/>
                        </a:solidFill>
                      </a:rPr>
                      <a:t>10%</a:t>
                    </a:r>
                  </a:p>
                </c:rich>
              </c:tx>
              <c:spPr/>
              <c:showLegendKey val="0"/>
              <c:showVal val="1"/>
              <c:showCatName val="0"/>
              <c:showSerName val="0"/>
              <c:showPercent val="1"/>
              <c:showBubbleSize val="0"/>
            </c:dLbl>
            <c:dLbl>
              <c:idx val="2"/>
              <c:layout>
                <c:manualLayout>
                  <c:x val="5.4050188917143131E-2"/>
                  <c:y val="-0.11164007759899575"/>
                </c:manualLayout>
              </c:layout>
              <c:tx>
                <c:rich>
                  <a:bodyPr/>
                  <a:lstStyle/>
                  <a:p>
                    <a:r>
                      <a:rPr lang="en-US" sz="1000"/>
                      <a:t>$45 m</a:t>
                    </a:r>
                    <a:br>
                      <a:rPr lang="en-US" sz="1000"/>
                    </a:br>
                    <a:r>
                      <a:rPr lang="en-US" sz="1000"/>
                      <a:t>8%</a:t>
                    </a:r>
                  </a:p>
                </c:rich>
              </c:tx>
              <c:showLegendKey val="0"/>
              <c:showVal val="1"/>
              <c:showCatName val="0"/>
              <c:showSerName val="0"/>
              <c:showPercent val="1"/>
              <c:showBubbleSize val="0"/>
            </c:dLbl>
            <c:dLbl>
              <c:idx val="3"/>
              <c:layout>
                <c:manualLayout>
                  <c:x val="0.12277301312618052"/>
                  <c:y val="7.0181901175396494E-2"/>
                </c:manualLayout>
              </c:layout>
              <c:tx>
                <c:rich>
                  <a:bodyPr/>
                  <a:lstStyle/>
                  <a:p>
                    <a:r>
                      <a:rPr lang="en-US" sz="1000"/>
                      <a:t>$224 m</a:t>
                    </a:r>
                    <a:br>
                      <a:rPr lang="en-US" sz="1000"/>
                    </a:br>
                    <a:r>
                      <a:rPr lang="en-US" sz="1000"/>
                      <a:t> 40%</a:t>
                    </a:r>
                  </a:p>
                </c:rich>
              </c:tx>
              <c:showLegendKey val="0"/>
              <c:showVal val="1"/>
              <c:showCatName val="0"/>
              <c:showSerName val="0"/>
              <c:showPercent val="1"/>
              <c:showBubbleSize val="0"/>
            </c:dLbl>
            <c:txPr>
              <a:bodyPr/>
              <a:lstStyle/>
              <a:p>
                <a:pPr>
                  <a:defRPr sz="1000" b="1"/>
                </a:pPr>
                <a:endParaRPr lang="en-US"/>
              </a:p>
            </c:txPr>
            <c:showLegendKey val="0"/>
            <c:showVal val="1"/>
            <c:showCatName val="0"/>
            <c:showSerName val="0"/>
            <c:showPercent val="1"/>
            <c:showBubbleSize val="0"/>
            <c:showLeaderLines val="1"/>
          </c:dLbls>
          <c:cat>
            <c:strRef>
              <c:f>'[4]State $ by Mission'!$B$28:$E$28</c:f>
              <c:strCache>
                <c:ptCount val="4"/>
                <c:pt idx="0">
                  <c:v>Academic</c:v>
                </c:pt>
                <c:pt idx="1">
                  <c:v>Basic Skills</c:v>
                </c:pt>
                <c:pt idx="2">
                  <c:v>Pre-College</c:v>
                </c:pt>
                <c:pt idx="3">
                  <c:v>Vocational</c:v>
                </c:pt>
              </c:strCache>
            </c:strRef>
          </c:cat>
          <c:val>
            <c:numRef>
              <c:f>'[4]State $ by Mission'!$B$29:$E$29</c:f>
              <c:numCache>
                <c:formatCode>General</c:formatCode>
                <c:ptCount val="4"/>
                <c:pt idx="0">
                  <c:v>239378033.06508595</c:v>
                </c:pt>
                <c:pt idx="1">
                  <c:v>53449050.142148547</c:v>
                </c:pt>
                <c:pt idx="2">
                  <c:v>44854481.888471395</c:v>
                </c:pt>
                <c:pt idx="3">
                  <c:v>223926015.95429415</c:v>
                </c:pt>
              </c:numCache>
            </c:numRef>
          </c:val>
        </c:ser>
        <c:dLbls>
          <c:showLegendKey val="0"/>
          <c:showVal val="0"/>
          <c:showCatName val="0"/>
          <c:showSerName val="0"/>
          <c:showPercent val="1"/>
          <c:showBubbleSize val="0"/>
          <c:showLeaderLines val="1"/>
        </c:dLbls>
        <c:firstSliceAng val="0"/>
      </c:pieChart>
    </c:plotArea>
    <c:legend>
      <c:legendPos val="b"/>
      <c:overlay val="0"/>
    </c:legend>
    <c:plotVisOnly val="1"/>
    <c:dispBlanksAs val="zero"/>
    <c:showDLblsOverMax val="0"/>
  </c:chart>
  <c:printSettings>
    <c:headerFooter/>
    <c:pageMargins b="0.75000000000000211" l="0.70000000000000062" r="0.70000000000000062" t="0.750000000000002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1"/>
    </mc:Choice>
    <mc:Fallback>
      <c:style val="11"/>
    </mc:Fallback>
  </mc:AlternateContent>
  <c:chart>
    <c:title>
      <c:tx>
        <c:rich>
          <a:bodyPr/>
          <a:lstStyle/>
          <a:p>
            <a:pPr>
              <a:defRPr/>
            </a:pPr>
            <a:r>
              <a:rPr lang="en-US" sz="1200"/>
              <a:t>College Expenditures by Mission Area</a:t>
            </a:r>
            <a:br>
              <a:rPr lang="en-US" sz="1200"/>
            </a:br>
            <a:r>
              <a:rPr lang="en-US" sz="1000"/>
              <a:t>FY 2012 Tuition and State Appropriated Funds</a:t>
            </a:r>
            <a:br>
              <a:rPr lang="en-US" sz="1000"/>
            </a:br>
            <a:r>
              <a:rPr lang="en-US" sz="1000"/>
              <a:t>Total: $869</a:t>
            </a:r>
            <a:r>
              <a:rPr lang="en-US" sz="1000" baseline="0"/>
              <a:t> million</a:t>
            </a:r>
            <a:endParaRPr lang="en-US" sz="1000"/>
          </a:p>
        </c:rich>
      </c:tx>
      <c:layout>
        <c:manualLayout>
          <c:xMode val="edge"/>
          <c:yMode val="edge"/>
          <c:x val="0.32266654836106556"/>
          <c:y val="1.9698884054894519E-2"/>
        </c:manualLayout>
      </c:layout>
      <c:overlay val="0"/>
    </c:title>
    <c:autoTitleDeleted val="0"/>
    <c:plotArea>
      <c:layout>
        <c:manualLayout>
          <c:layoutTarget val="inner"/>
          <c:xMode val="edge"/>
          <c:yMode val="edge"/>
          <c:x val="0.27024958948144107"/>
          <c:y val="0.19796820411942576"/>
          <c:w val="0.45950100236156965"/>
          <c:h val="0.6088125050151042"/>
        </c:manualLayout>
      </c:layout>
      <c:pieChart>
        <c:varyColors val="1"/>
        <c:ser>
          <c:idx val="0"/>
          <c:order val="0"/>
          <c:dLbls>
            <c:dLbl>
              <c:idx val="0"/>
              <c:layout>
                <c:manualLayout>
                  <c:x val="-0.12496090018582592"/>
                  <c:y val="2.1793081503745003E-2"/>
                </c:manualLayout>
              </c:layout>
              <c:tx>
                <c:rich>
                  <a:bodyPr/>
                  <a:lstStyle/>
                  <a:p>
                    <a:r>
                      <a:rPr lang="en-US" sz="1000">
                        <a:solidFill>
                          <a:schemeClr val="bg1"/>
                        </a:solidFill>
                      </a:rPr>
                      <a:t>$375 m </a:t>
                    </a:r>
                    <a:br>
                      <a:rPr lang="en-US" sz="1000">
                        <a:solidFill>
                          <a:schemeClr val="bg1"/>
                        </a:solidFill>
                      </a:rPr>
                    </a:br>
                    <a:r>
                      <a:rPr lang="en-US" sz="1000">
                        <a:solidFill>
                          <a:schemeClr val="bg1"/>
                        </a:solidFill>
                      </a:rPr>
                      <a:t>43%</a:t>
                    </a:r>
                  </a:p>
                </c:rich>
              </c:tx>
              <c:showLegendKey val="0"/>
              <c:showVal val="1"/>
              <c:showCatName val="0"/>
              <c:showSerName val="0"/>
              <c:showPercent val="1"/>
              <c:showBubbleSize val="0"/>
            </c:dLbl>
            <c:dLbl>
              <c:idx val="1"/>
              <c:layout>
                <c:manualLayout>
                  <c:x val="-2.4298884876107638E-2"/>
                  <c:y val="-0.12364894239815856"/>
                </c:manualLayout>
              </c:layout>
              <c:tx>
                <c:rich>
                  <a:bodyPr/>
                  <a:lstStyle/>
                  <a:p>
                    <a:r>
                      <a:rPr lang="en-US" sz="1000">
                        <a:solidFill>
                          <a:schemeClr val="bg1"/>
                        </a:solidFill>
                      </a:rPr>
                      <a:t>$82 m </a:t>
                    </a:r>
                    <a:br>
                      <a:rPr lang="en-US" sz="1000">
                        <a:solidFill>
                          <a:schemeClr val="bg1"/>
                        </a:solidFill>
                      </a:rPr>
                    </a:br>
                    <a:r>
                      <a:rPr lang="en-US" sz="1000">
                        <a:solidFill>
                          <a:schemeClr val="bg1"/>
                        </a:solidFill>
                      </a:rPr>
                      <a:t>9%</a:t>
                    </a:r>
                  </a:p>
                </c:rich>
              </c:tx>
              <c:showLegendKey val="0"/>
              <c:showVal val="1"/>
              <c:showCatName val="0"/>
              <c:showSerName val="0"/>
              <c:showPercent val="1"/>
              <c:showBubbleSize val="0"/>
            </c:dLbl>
            <c:dLbl>
              <c:idx val="2"/>
              <c:layout>
                <c:manualLayout>
                  <c:x val="5.7297583701681191E-2"/>
                  <c:y val="-0.10850406807437979"/>
                </c:manualLayout>
              </c:layout>
              <c:tx>
                <c:rich>
                  <a:bodyPr/>
                  <a:lstStyle/>
                  <a:p>
                    <a:r>
                      <a:rPr lang="en-US" sz="1000"/>
                      <a:t>$69 m </a:t>
                    </a:r>
                    <a:br>
                      <a:rPr lang="en-US" sz="1000"/>
                    </a:br>
                    <a:r>
                      <a:rPr lang="en-US" sz="1000"/>
                      <a:t>8%</a:t>
                    </a:r>
                  </a:p>
                </c:rich>
              </c:tx>
              <c:showLegendKey val="0"/>
              <c:showVal val="1"/>
              <c:showCatName val="0"/>
              <c:showSerName val="0"/>
              <c:showPercent val="1"/>
              <c:showBubbleSize val="0"/>
            </c:dLbl>
            <c:dLbl>
              <c:idx val="3"/>
              <c:layout>
                <c:manualLayout>
                  <c:x val="0.13652517915717371"/>
                  <c:y val="4.9310583375028368E-2"/>
                </c:manualLayout>
              </c:layout>
              <c:tx>
                <c:rich>
                  <a:bodyPr/>
                  <a:lstStyle/>
                  <a:p>
                    <a:r>
                      <a:rPr lang="en-US" sz="1000"/>
                      <a:t>$343</a:t>
                    </a:r>
                    <a:r>
                      <a:rPr lang="en-US" sz="1000" baseline="0"/>
                      <a:t> m</a:t>
                    </a:r>
                    <a:r>
                      <a:rPr lang="en-US" sz="1000"/>
                      <a:t> </a:t>
                    </a:r>
                    <a:br>
                      <a:rPr lang="en-US" sz="1000"/>
                    </a:br>
                    <a:r>
                      <a:rPr lang="en-US" sz="1000"/>
                      <a:t>40%</a:t>
                    </a:r>
                  </a:p>
                </c:rich>
              </c:tx>
              <c:showLegendKey val="0"/>
              <c:showVal val="1"/>
              <c:showCatName val="0"/>
              <c:showSerName val="0"/>
              <c:showPercent val="1"/>
              <c:showBubbleSize val="0"/>
            </c:dLbl>
            <c:txPr>
              <a:bodyPr/>
              <a:lstStyle/>
              <a:p>
                <a:pPr>
                  <a:defRPr sz="1000" b="1"/>
                </a:pPr>
                <a:endParaRPr lang="en-US"/>
              </a:p>
            </c:txPr>
            <c:showLegendKey val="0"/>
            <c:showVal val="1"/>
            <c:showCatName val="0"/>
            <c:showSerName val="0"/>
            <c:showPercent val="1"/>
            <c:showBubbleSize val="0"/>
            <c:showLeaderLines val="1"/>
          </c:dLbls>
          <c:cat>
            <c:strRef>
              <c:f>'[4]Total $ by Mission'!$B$28:$E$28</c:f>
              <c:strCache>
                <c:ptCount val="4"/>
                <c:pt idx="0">
                  <c:v>Academic</c:v>
                </c:pt>
                <c:pt idx="1">
                  <c:v>Basic Skills</c:v>
                </c:pt>
                <c:pt idx="2">
                  <c:v>Pre-College</c:v>
                </c:pt>
                <c:pt idx="3">
                  <c:v>Vocational</c:v>
                </c:pt>
              </c:strCache>
            </c:strRef>
          </c:cat>
          <c:val>
            <c:numRef>
              <c:f>'[4]Total $ by Mission'!$B$29:$E$29</c:f>
              <c:numCache>
                <c:formatCode>General</c:formatCode>
                <c:ptCount val="4"/>
                <c:pt idx="0">
                  <c:v>374897832.97706622</c:v>
                </c:pt>
                <c:pt idx="1">
                  <c:v>81871295.475999743</c:v>
                </c:pt>
                <c:pt idx="2">
                  <c:v>68978913.530547306</c:v>
                </c:pt>
                <c:pt idx="3">
                  <c:v>343480850.01638675</c:v>
                </c:pt>
              </c:numCache>
            </c:numRef>
          </c:val>
        </c:ser>
        <c:dLbls>
          <c:showLegendKey val="0"/>
          <c:showVal val="0"/>
          <c:showCatName val="0"/>
          <c:showSerName val="0"/>
          <c:showPercent val="1"/>
          <c:showBubbleSize val="0"/>
          <c:showLeaderLines val="1"/>
        </c:dLbls>
        <c:firstSliceAng val="0"/>
      </c:pieChart>
    </c:plotArea>
    <c:legend>
      <c:legendPos val="b"/>
      <c:overlay val="0"/>
      <c:txPr>
        <a:bodyPr/>
        <a:lstStyle/>
        <a:p>
          <a:pPr>
            <a:defRPr sz="1200"/>
          </a:pPr>
          <a:endParaRPr lang="en-US"/>
        </a:p>
      </c:txPr>
    </c:legend>
    <c:plotVisOnly val="1"/>
    <c:dispBlanksAs val="zero"/>
    <c:showDLblsOverMax val="0"/>
  </c:chart>
  <c:printSettings>
    <c:headerFooter/>
    <c:pageMargins b="0.75000000000000222" l="0.70000000000000062" r="0.70000000000000062" t="0.750000000000002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1"/>
    </mc:Choice>
    <mc:Fallback>
      <c:style val="11"/>
    </mc:Fallback>
  </mc:AlternateContent>
  <c:chart>
    <c:title>
      <c:tx>
        <c:rich>
          <a:bodyPr/>
          <a:lstStyle/>
          <a:p>
            <a:pPr>
              <a:defRPr/>
            </a:pPr>
            <a:r>
              <a:rPr lang="en-US" sz="1200"/>
              <a:t>College Expenditures by Mission Area</a:t>
            </a:r>
            <a:br>
              <a:rPr lang="en-US" sz="1200"/>
            </a:br>
            <a:r>
              <a:rPr lang="en-US" sz="1000"/>
              <a:t>FY 2012 Tuition and State Appropriated Funds</a:t>
            </a:r>
            <a:br>
              <a:rPr lang="en-US" sz="1000"/>
            </a:br>
            <a:r>
              <a:rPr lang="en-US" sz="1000"/>
              <a:t>Total: $869</a:t>
            </a:r>
            <a:r>
              <a:rPr lang="en-US" sz="1000" baseline="0"/>
              <a:t> million</a:t>
            </a:r>
            <a:endParaRPr lang="en-US" sz="1000"/>
          </a:p>
        </c:rich>
      </c:tx>
      <c:layout>
        <c:manualLayout>
          <c:xMode val="edge"/>
          <c:yMode val="edge"/>
          <c:x val="0.32266654836106551"/>
          <c:y val="1.9698884054894519E-2"/>
        </c:manualLayout>
      </c:layout>
      <c:overlay val="0"/>
    </c:title>
    <c:autoTitleDeleted val="0"/>
    <c:plotArea>
      <c:layout>
        <c:manualLayout>
          <c:layoutTarget val="inner"/>
          <c:xMode val="edge"/>
          <c:yMode val="edge"/>
          <c:x val="0.27024958948144107"/>
          <c:y val="0.1979682041194257"/>
          <c:w val="0.45950100236156965"/>
          <c:h val="0.6088125050151042"/>
        </c:manualLayout>
      </c:layout>
      <c:pieChart>
        <c:varyColors val="1"/>
        <c:ser>
          <c:idx val="0"/>
          <c:order val="0"/>
          <c:dLbls>
            <c:dLbl>
              <c:idx val="0"/>
              <c:layout>
                <c:manualLayout>
                  <c:x val="-0.12496090018582592"/>
                  <c:y val="2.1793081503745003E-2"/>
                </c:manualLayout>
              </c:layout>
              <c:tx>
                <c:rich>
                  <a:bodyPr/>
                  <a:lstStyle/>
                  <a:p>
                    <a:r>
                      <a:rPr lang="en-US" sz="1000">
                        <a:solidFill>
                          <a:schemeClr val="bg1"/>
                        </a:solidFill>
                      </a:rPr>
                      <a:t>$375 m </a:t>
                    </a:r>
                    <a:br>
                      <a:rPr lang="en-US" sz="1000">
                        <a:solidFill>
                          <a:schemeClr val="bg1"/>
                        </a:solidFill>
                      </a:rPr>
                    </a:br>
                    <a:r>
                      <a:rPr lang="en-US" sz="1000">
                        <a:solidFill>
                          <a:schemeClr val="bg1"/>
                        </a:solidFill>
                      </a:rPr>
                      <a:t>43%</a:t>
                    </a:r>
                  </a:p>
                </c:rich>
              </c:tx>
              <c:showLegendKey val="0"/>
              <c:showVal val="1"/>
              <c:showCatName val="0"/>
              <c:showSerName val="0"/>
              <c:showPercent val="1"/>
              <c:showBubbleSize val="0"/>
            </c:dLbl>
            <c:dLbl>
              <c:idx val="1"/>
              <c:layout>
                <c:manualLayout>
                  <c:x val="-2.4298884876107638E-2"/>
                  <c:y val="-0.12364894239815856"/>
                </c:manualLayout>
              </c:layout>
              <c:tx>
                <c:rich>
                  <a:bodyPr/>
                  <a:lstStyle/>
                  <a:p>
                    <a:r>
                      <a:rPr lang="en-US" sz="1000">
                        <a:solidFill>
                          <a:schemeClr val="bg1"/>
                        </a:solidFill>
                      </a:rPr>
                      <a:t>$82 m </a:t>
                    </a:r>
                    <a:br>
                      <a:rPr lang="en-US" sz="1000">
                        <a:solidFill>
                          <a:schemeClr val="bg1"/>
                        </a:solidFill>
                      </a:rPr>
                    </a:br>
                    <a:r>
                      <a:rPr lang="en-US" sz="1000">
                        <a:solidFill>
                          <a:schemeClr val="bg1"/>
                        </a:solidFill>
                      </a:rPr>
                      <a:t>9%</a:t>
                    </a:r>
                  </a:p>
                </c:rich>
              </c:tx>
              <c:showLegendKey val="0"/>
              <c:showVal val="1"/>
              <c:showCatName val="0"/>
              <c:showSerName val="0"/>
              <c:showPercent val="1"/>
              <c:showBubbleSize val="0"/>
            </c:dLbl>
            <c:dLbl>
              <c:idx val="2"/>
              <c:layout>
                <c:manualLayout>
                  <c:x val="5.7297583701681191E-2"/>
                  <c:y val="-0.10850406807437979"/>
                </c:manualLayout>
              </c:layout>
              <c:tx>
                <c:rich>
                  <a:bodyPr/>
                  <a:lstStyle/>
                  <a:p>
                    <a:r>
                      <a:rPr lang="en-US" sz="1000"/>
                      <a:t>$69 m </a:t>
                    </a:r>
                    <a:br>
                      <a:rPr lang="en-US" sz="1000"/>
                    </a:br>
                    <a:r>
                      <a:rPr lang="en-US" sz="1000"/>
                      <a:t>8%</a:t>
                    </a:r>
                  </a:p>
                </c:rich>
              </c:tx>
              <c:showLegendKey val="0"/>
              <c:showVal val="1"/>
              <c:showCatName val="0"/>
              <c:showSerName val="0"/>
              <c:showPercent val="1"/>
              <c:showBubbleSize val="0"/>
            </c:dLbl>
            <c:dLbl>
              <c:idx val="3"/>
              <c:layout>
                <c:manualLayout>
                  <c:x val="0.13652517915717371"/>
                  <c:y val="4.9310583375028347E-2"/>
                </c:manualLayout>
              </c:layout>
              <c:tx>
                <c:rich>
                  <a:bodyPr/>
                  <a:lstStyle/>
                  <a:p>
                    <a:r>
                      <a:rPr lang="en-US" sz="1000"/>
                      <a:t>$343</a:t>
                    </a:r>
                    <a:r>
                      <a:rPr lang="en-US" sz="1000" baseline="0"/>
                      <a:t> m</a:t>
                    </a:r>
                    <a:r>
                      <a:rPr lang="en-US" sz="1000"/>
                      <a:t> </a:t>
                    </a:r>
                    <a:br>
                      <a:rPr lang="en-US" sz="1000"/>
                    </a:br>
                    <a:r>
                      <a:rPr lang="en-US" sz="1000"/>
                      <a:t>40%</a:t>
                    </a:r>
                  </a:p>
                </c:rich>
              </c:tx>
              <c:showLegendKey val="0"/>
              <c:showVal val="1"/>
              <c:showCatName val="0"/>
              <c:showSerName val="0"/>
              <c:showPercent val="1"/>
              <c:showBubbleSize val="0"/>
            </c:dLbl>
            <c:txPr>
              <a:bodyPr/>
              <a:lstStyle/>
              <a:p>
                <a:pPr>
                  <a:defRPr sz="1000" b="1"/>
                </a:pPr>
                <a:endParaRPr lang="en-US"/>
              </a:p>
            </c:txPr>
            <c:showLegendKey val="0"/>
            <c:showVal val="1"/>
            <c:showCatName val="0"/>
            <c:showSerName val="0"/>
            <c:showPercent val="1"/>
            <c:showBubbleSize val="0"/>
            <c:showLeaderLines val="1"/>
          </c:dLbls>
          <c:cat>
            <c:strRef>
              <c:f>'[4]Total $ by Mission'!$B$28:$E$28</c:f>
              <c:strCache>
                <c:ptCount val="4"/>
                <c:pt idx="0">
                  <c:v>Academic</c:v>
                </c:pt>
                <c:pt idx="1">
                  <c:v>Basic Skills</c:v>
                </c:pt>
                <c:pt idx="2">
                  <c:v>Pre-College</c:v>
                </c:pt>
                <c:pt idx="3">
                  <c:v>Vocational</c:v>
                </c:pt>
              </c:strCache>
            </c:strRef>
          </c:cat>
          <c:val>
            <c:numRef>
              <c:f>'[4]Total $ by Mission'!$B$29:$E$29</c:f>
              <c:numCache>
                <c:formatCode>General</c:formatCode>
                <c:ptCount val="4"/>
                <c:pt idx="0">
                  <c:v>374897832.97706622</c:v>
                </c:pt>
                <c:pt idx="1">
                  <c:v>81871295.475999743</c:v>
                </c:pt>
                <c:pt idx="2">
                  <c:v>68978913.530547306</c:v>
                </c:pt>
                <c:pt idx="3">
                  <c:v>343480850.01638675</c:v>
                </c:pt>
              </c:numCache>
            </c:numRef>
          </c:val>
        </c:ser>
        <c:dLbls>
          <c:showLegendKey val="0"/>
          <c:showVal val="0"/>
          <c:showCatName val="0"/>
          <c:showSerName val="0"/>
          <c:showPercent val="1"/>
          <c:showBubbleSize val="0"/>
          <c:showLeaderLines val="1"/>
        </c:dLbls>
        <c:firstSliceAng val="0"/>
      </c:pieChart>
    </c:plotArea>
    <c:legend>
      <c:legendPos val="b"/>
      <c:overlay val="0"/>
      <c:txPr>
        <a:bodyPr/>
        <a:lstStyle/>
        <a:p>
          <a:pPr>
            <a:defRPr sz="1200"/>
          </a:pPr>
          <a:endParaRPr lang="en-US"/>
        </a:p>
      </c:txPr>
    </c:legend>
    <c:plotVisOnly val="1"/>
    <c:dispBlanksAs val="zero"/>
    <c:showDLblsOverMax val="0"/>
  </c:chart>
  <c:printSettings>
    <c:headerFooter/>
    <c:pageMargins b="0.75000000000000211" l="0.70000000000000062" r="0.70000000000000062" t="0.7500000000000021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8</xdr:col>
      <xdr:colOff>518160</xdr:colOff>
      <xdr:row>6</xdr:row>
      <xdr:rowOff>121920</xdr:rowOff>
    </xdr:from>
    <xdr:to>
      <xdr:col>20</xdr:col>
      <xdr:colOff>325756</xdr:colOff>
      <xdr:row>30</xdr:row>
      <xdr:rowOff>108586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5</xdr:row>
      <xdr:rowOff>0</xdr:rowOff>
    </xdr:from>
    <xdr:to>
      <xdr:col>21</xdr:col>
      <xdr:colOff>384810</xdr:colOff>
      <xdr:row>24</xdr:row>
      <xdr:rowOff>144780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5</xdr:row>
      <xdr:rowOff>0</xdr:rowOff>
    </xdr:from>
    <xdr:to>
      <xdr:col>21</xdr:col>
      <xdr:colOff>384810</xdr:colOff>
      <xdr:row>24</xdr:row>
      <xdr:rowOff>144780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3</xdr:row>
      <xdr:rowOff>0</xdr:rowOff>
    </xdr:from>
    <xdr:to>
      <xdr:col>21</xdr:col>
      <xdr:colOff>417196</xdr:colOff>
      <xdr:row>27</xdr:row>
      <xdr:rowOff>40006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3</xdr:row>
      <xdr:rowOff>0</xdr:rowOff>
    </xdr:from>
    <xdr:to>
      <xdr:col>21</xdr:col>
      <xdr:colOff>417196</xdr:colOff>
      <xdr:row>27</xdr:row>
      <xdr:rowOff>40006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trotters\Local%20Settings\Temporary%20Internet%20Files\Content.Outlook\3L45R31R\Simple%20Cost%20Study%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melissab\Local%20Settings\Temporary%20Internet%20Files\Content.Outlook\KQYARB58\Cost%20Study%20Workbo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ost%20Studies\Education%20Cost%20Studies\2010-11%20ECS\FY%202011%20ECS%20Calculations%20updated%20112220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melissab\Local%20Settings\Temporary%20Internet%20Files\Content.Outlook\KQYARB58\FY%202012%20ECS%20Calculat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Proposal 2"/>
      <sheetName val="Budget Driver Report"/>
      <sheetName val="CWU Draft"/>
      <sheetName val="Sheet3"/>
      <sheetName val="Sheet4"/>
      <sheetName val="Sheet5"/>
      <sheetName val="Sheet6"/>
      <sheetName val="Sheet7"/>
    </sheetNames>
    <sheetDataSet>
      <sheetData sheetId="0"/>
      <sheetData sheetId="1">
        <row r="17">
          <cell r="F17">
            <v>9580.9</v>
          </cell>
        </row>
        <row r="18">
          <cell r="F18">
            <v>9914.2333333333354</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d"/>
      <sheetName val="InstructStaff"/>
      <sheetName val="Student FTE"/>
      <sheetName val="CourseSecs"/>
      <sheetName val="ExpendbyBgtFam"/>
      <sheetName val="BgtFam vs Program"/>
      <sheetName val="Space"/>
      <sheetName val="Libraries"/>
      <sheetName val="Primary Sppt"/>
      <sheetName val="InstructDistX"/>
      <sheetName val="InstructDist"/>
      <sheetName val="OMDistn"/>
      <sheetName val="StdtServDist"/>
      <sheetName val="InstSpptDist"/>
      <sheetName val="TotalDist"/>
      <sheetName val="FinalOF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28">
          <cell r="B28">
            <v>0.21890697792883343</v>
          </cell>
          <cell r="C28">
            <v>0.36323814312207725</v>
          </cell>
          <cell r="D28">
            <v>0.41785487894908935</v>
          </cell>
          <cell r="E28">
            <v>0.34020416012545174</v>
          </cell>
          <cell r="F28">
            <v>0.39804298269466287</v>
          </cell>
          <cell r="G28">
            <v>0.26175285717988533</v>
          </cell>
          <cell r="H28">
            <v>0.40225193222999539</v>
          </cell>
          <cell r="I28">
            <v>0.40436606139917092</v>
          </cell>
          <cell r="J28">
            <v>0.19338200637083372</v>
          </cell>
          <cell r="K28">
            <v>0.36153129955294755</v>
          </cell>
          <cell r="L28">
            <v>0.30779523507130563</v>
          </cell>
          <cell r="M28">
            <v>0.33067346537574688</v>
          </cell>
          <cell r="N28">
            <v>0.29787523018144141</v>
          </cell>
          <cell r="O28">
            <v>0.32328768800483187</v>
          </cell>
          <cell r="P28">
            <v>0.37883708181372666</v>
          </cell>
          <cell r="T28">
            <v>0.25350221079781354</v>
          </cell>
          <cell r="U28">
            <v>0.3814039850244505</v>
          </cell>
          <cell r="V28">
            <v>0.36509380417773596</v>
          </cell>
        </row>
      </sheetData>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tate $ by Mission"/>
      <sheetName val="Total $ by Mission"/>
      <sheetName val="allocated SF"/>
      <sheetName val="FY 2011 Sq Ft Program"/>
      <sheetName val="Faculty and Students"/>
    </sheetNames>
    <sheetDataSet>
      <sheetData sheetId="0"/>
      <sheetData sheetId="1">
        <row r="28">
          <cell r="B28" t="str">
            <v>Academic</v>
          </cell>
        </row>
      </sheetData>
      <sheetData sheetId="2">
        <row r="28">
          <cell r="B28" t="str">
            <v>Academic</v>
          </cell>
          <cell r="C28" t="str">
            <v>Basic Skills</v>
          </cell>
          <cell r="D28" t="str">
            <v>Pre-College</v>
          </cell>
          <cell r="E28" t="str">
            <v>Vocational</v>
          </cell>
        </row>
        <row r="29">
          <cell r="B29">
            <v>403714430.82926428</v>
          </cell>
          <cell r="C29">
            <v>89764722.52528353</v>
          </cell>
          <cell r="D29">
            <v>71759568.990133852</v>
          </cell>
          <cell r="E29">
            <v>378339856.65531832</v>
          </cell>
        </row>
      </sheetData>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tate $ by Mission"/>
      <sheetName val="Total $ by Mission"/>
      <sheetName val="allocated SF"/>
      <sheetName val="FY 2012 Sq Ft Program"/>
      <sheetName val="Faculty and Students"/>
      <sheetName val="SUMMARY SHEET"/>
    </sheetNames>
    <sheetDataSet>
      <sheetData sheetId="0"/>
      <sheetData sheetId="1">
        <row r="28">
          <cell r="B28" t="str">
            <v>Academic</v>
          </cell>
          <cell r="C28" t="str">
            <v>Basic Skills</v>
          </cell>
          <cell r="D28" t="str">
            <v>Pre-College</v>
          </cell>
          <cell r="E28" t="str">
            <v>Vocational</v>
          </cell>
        </row>
        <row r="29">
          <cell r="B29">
            <v>239378033.06508595</v>
          </cell>
          <cell r="C29">
            <v>53449050.142148547</v>
          </cell>
          <cell r="D29">
            <v>44854481.888471395</v>
          </cell>
          <cell r="E29">
            <v>223926015.95429415</v>
          </cell>
        </row>
      </sheetData>
      <sheetData sheetId="2">
        <row r="28">
          <cell r="B28" t="str">
            <v>Academic</v>
          </cell>
          <cell r="C28" t="str">
            <v>Basic Skills</v>
          </cell>
          <cell r="D28" t="str">
            <v>Pre-College</v>
          </cell>
          <cell r="E28" t="str">
            <v>Vocational</v>
          </cell>
        </row>
        <row r="29">
          <cell r="B29">
            <v>374897832.97706622</v>
          </cell>
          <cell r="C29">
            <v>81871295.475999743</v>
          </cell>
          <cell r="D29">
            <v>68978913.530547306</v>
          </cell>
          <cell r="E29">
            <v>343480850.01638675</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abSelected="1" zoomScaleNormal="100" workbookViewId="0">
      <selection sqref="A1:J1"/>
    </sheetView>
  </sheetViews>
  <sheetFormatPr defaultRowHeight="14.4" x14ac:dyDescent="0.3"/>
  <cols>
    <col min="1" max="1" width="2.88671875" style="107" customWidth="1"/>
  </cols>
  <sheetData>
    <row r="1" spans="1:10" ht="28.2" x14ac:dyDescent="0.5">
      <c r="A1" s="210" t="s">
        <v>93</v>
      </c>
      <c r="B1" s="210"/>
      <c r="C1" s="210"/>
      <c r="D1" s="210"/>
      <c r="E1" s="210"/>
      <c r="F1" s="210"/>
      <c r="G1" s="210"/>
      <c r="H1" s="210"/>
      <c r="I1" s="210"/>
      <c r="J1" s="210"/>
    </row>
    <row r="3" spans="1:10" ht="50.25" customHeight="1" x14ac:dyDescent="0.3">
      <c r="A3" s="107" t="s">
        <v>94</v>
      </c>
      <c r="B3" s="209" t="s">
        <v>95</v>
      </c>
      <c r="C3" s="209"/>
      <c r="D3" s="209"/>
      <c r="E3" s="209"/>
      <c r="F3" s="209"/>
      <c r="G3" s="209"/>
      <c r="H3" s="209"/>
      <c r="I3" s="209"/>
      <c r="J3" s="209"/>
    </row>
    <row r="5" spans="1:10" ht="32.25" customHeight="1" x14ac:dyDescent="0.3">
      <c r="A5" s="107" t="s">
        <v>96</v>
      </c>
      <c r="B5" s="209" t="s">
        <v>125</v>
      </c>
      <c r="C5" s="209"/>
      <c r="D5" s="209"/>
      <c r="E5" s="209"/>
      <c r="F5" s="209"/>
      <c r="G5" s="209"/>
      <c r="H5" s="209"/>
      <c r="I5" s="209"/>
      <c r="J5" s="209"/>
    </row>
    <row r="7" spans="1:10" ht="153.75" customHeight="1" x14ac:dyDescent="0.3">
      <c r="A7" s="107" t="s">
        <v>97</v>
      </c>
      <c r="B7" s="209" t="s">
        <v>126</v>
      </c>
      <c r="C7" s="209"/>
      <c r="D7" s="209"/>
      <c r="E7" s="209"/>
      <c r="F7" s="209"/>
      <c r="G7" s="209"/>
      <c r="H7" s="209"/>
      <c r="I7" s="209"/>
      <c r="J7" s="209"/>
    </row>
    <row r="9" spans="1:10" ht="60.75" customHeight="1" x14ac:dyDescent="0.3">
      <c r="A9" s="107" t="s">
        <v>98</v>
      </c>
      <c r="B9" s="209" t="s">
        <v>135</v>
      </c>
      <c r="C9" s="209"/>
      <c r="D9" s="209"/>
      <c r="E9" s="209"/>
      <c r="F9" s="209"/>
      <c r="G9" s="209"/>
      <c r="H9" s="209"/>
      <c r="I9" s="209"/>
      <c r="J9" s="209"/>
    </row>
    <row r="11" spans="1:10" ht="45.15" customHeight="1" x14ac:dyDescent="0.3">
      <c r="A11" s="107" t="s">
        <v>99</v>
      </c>
      <c r="B11" s="209" t="s">
        <v>136</v>
      </c>
      <c r="C11" s="209"/>
      <c r="D11" s="209"/>
      <c r="E11" s="209"/>
      <c r="F11" s="209"/>
      <c r="G11" s="209"/>
      <c r="H11" s="209"/>
      <c r="I11" s="209"/>
      <c r="J11" s="209"/>
    </row>
    <row r="13" spans="1:10" ht="45.15" x14ac:dyDescent="0.3">
      <c r="B13" s="147" t="s">
        <v>115</v>
      </c>
      <c r="C13" s="146" t="s">
        <v>113</v>
      </c>
      <c r="D13" s="146" t="s">
        <v>114</v>
      </c>
    </row>
    <row r="14" spans="1:10" ht="15" x14ac:dyDescent="0.3">
      <c r="B14" t="s">
        <v>112</v>
      </c>
      <c r="C14" s="148">
        <v>0.04</v>
      </c>
      <c r="D14" s="148">
        <v>0.1</v>
      </c>
    </row>
    <row r="15" spans="1:10" ht="15" x14ac:dyDescent="0.3">
      <c r="B15" t="s">
        <v>116</v>
      </c>
      <c r="C15" s="148">
        <v>0.04</v>
      </c>
      <c r="D15" s="148">
        <v>0.11</v>
      </c>
    </row>
    <row r="16" spans="1:10" ht="15" x14ac:dyDescent="0.3">
      <c r="B16" t="s">
        <v>117</v>
      </c>
      <c r="C16" s="148">
        <v>0.04</v>
      </c>
      <c r="D16" s="148">
        <v>0.1</v>
      </c>
    </row>
    <row r="17" spans="2:10" ht="15" x14ac:dyDescent="0.3">
      <c r="B17" t="s">
        <v>118</v>
      </c>
      <c r="C17" s="148">
        <v>0.05</v>
      </c>
      <c r="D17" s="148">
        <v>0.21</v>
      </c>
    </row>
    <row r="18" spans="2:10" ht="15" x14ac:dyDescent="0.3">
      <c r="B18" t="s">
        <v>119</v>
      </c>
      <c r="C18" s="148">
        <v>0.04</v>
      </c>
      <c r="D18" s="148">
        <v>0.2</v>
      </c>
    </row>
    <row r="19" spans="2:10" ht="15" x14ac:dyDescent="0.3">
      <c r="B19" t="s">
        <v>120</v>
      </c>
      <c r="C19" s="148">
        <v>0.04</v>
      </c>
      <c r="D19" s="148">
        <v>0.1</v>
      </c>
    </row>
    <row r="20" spans="2:10" ht="15" x14ac:dyDescent="0.3">
      <c r="B20" t="s">
        <v>110</v>
      </c>
      <c r="C20" s="149">
        <v>3.5000000000000003E-2</v>
      </c>
      <c r="D20" s="148">
        <v>0.35</v>
      </c>
    </row>
    <row r="22" spans="2:10" ht="15" x14ac:dyDescent="0.3">
      <c r="B22" t="s">
        <v>121</v>
      </c>
    </row>
    <row r="23" spans="2:10" ht="15" x14ac:dyDescent="0.3">
      <c r="B23" t="s">
        <v>122</v>
      </c>
    </row>
    <row r="24" spans="2:10" ht="29.25" customHeight="1" x14ac:dyDescent="0.3">
      <c r="B24" s="209" t="s">
        <v>124</v>
      </c>
      <c r="C24" s="209"/>
      <c r="D24" s="209"/>
      <c r="E24" s="209"/>
      <c r="F24" s="209"/>
      <c r="G24" s="209"/>
      <c r="H24" s="209"/>
      <c r="I24" s="209"/>
    </row>
    <row r="25" spans="2:10" ht="27.75" customHeight="1" x14ac:dyDescent="0.3">
      <c r="B25" s="209" t="s">
        <v>123</v>
      </c>
      <c r="C25" s="209"/>
      <c r="D25" s="209"/>
      <c r="E25" s="209"/>
      <c r="F25" s="209"/>
      <c r="G25" s="209"/>
      <c r="H25" s="209"/>
      <c r="I25" s="209"/>
      <c r="J25" s="209"/>
    </row>
  </sheetData>
  <mergeCells count="8">
    <mergeCell ref="B11:J11"/>
    <mergeCell ref="B25:J25"/>
    <mergeCell ref="B24:I24"/>
    <mergeCell ref="A1:J1"/>
    <mergeCell ref="B3:J3"/>
    <mergeCell ref="B5:J5"/>
    <mergeCell ref="B7:J7"/>
    <mergeCell ref="B9:J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3"/>
  <sheetViews>
    <sheetView workbookViewId="0">
      <selection activeCell="C30" sqref="C30"/>
    </sheetView>
  </sheetViews>
  <sheetFormatPr defaultRowHeight="14.4" x14ac:dyDescent="0.3"/>
  <cols>
    <col min="1" max="1" width="54" bestFit="1" customWidth="1"/>
    <col min="2" max="5" width="11.5546875" bestFit="1" customWidth="1"/>
    <col min="6" max="6" width="11.5546875" customWidth="1"/>
    <col min="7" max="7" width="12.44140625" customWidth="1"/>
  </cols>
  <sheetData>
    <row r="1" spans="1:8" s="30" customFormat="1" ht="30" customHeight="1" x14ac:dyDescent="0.3">
      <c r="B1" s="31" t="str">
        <f>'CWU-EWU-TESC-WWU Data'!B3</f>
        <v>Central</v>
      </c>
      <c r="C1" s="31" t="str">
        <f>'CWU-EWU-TESC-WWU Data'!C3</f>
        <v>Eastern*</v>
      </c>
      <c r="D1" s="31" t="str">
        <f>'CWU-EWU-TESC-WWU Data'!D3</f>
        <v>Evergreen</v>
      </c>
      <c r="E1" s="31" t="str">
        <f>'CWU-EWU-TESC-WWU Data'!E3</f>
        <v>Western</v>
      </c>
      <c r="F1" s="32" t="s">
        <v>24</v>
      </c>
      <c r="G1" s="31" t="s">
        <v>25</v>
      </c>
      <c r="H1" s="31" t="s">
        <v>110</v>
      </c>
    </row>
    <row r="3" spans="1:8" ht="15" x14ac:dyDescent="0.3">
      <c r="A3" s="33" t="str">
        <f>'CWU-EWU-TESC-WWU Data'!A28</f>
        <v>Expenditure per UG FTES</v>
      </c>
      <c r="B3" s="34">
        <f>'CWU-EWU-TESC-WWU Data'!B28</f>
        <v>8885.999423108422</v>
      </c>
      <c r="C3" s="34">
        <f>'CWU-EWU-TESC-WWU Data'!C28</f>
        <v>8807.2519283901802</v>
      </c>
      <c r="D3" s="34">
        <f>'CWU-EWU-TESC-WWU Data'!D28</f>
        <v>11203.108691367901</v>
      </c>
      <c r="E3" s="34">
        <f>'CWU-EWU-TESC-WWU Data'!E28</f>
        <v>9045.0878730008353</v>
      </c>
      <c r="F3" s="34">
        <f>'UW Data'!B52</f>
        <v>13586.16480121134</v>
      </c>
      <c r="G3" s="34">
        <f>'WSU Data'!F35</f>
        <v>10640.830478748599</v>
      </c>
      <c r="H3" s="34">
        <f>'SBCTC exp-incl tuition'!H8</f>
        <v>6094.1627233287891</v>
      </c>
    </row>
    <row r="4" spans="1:8" ht="15" x14ac:dyDescent="0.3">
      <c r="A4" t="str">
        <f>'CWU-EWU-TESC-WWU Data'!A33</f>
        <v>Net Resident UG Tuition Level</v>
      </c>
      <c r="B4" s="20">
        <f>'CWU-EWU-TESC-WWU Data'!B33</f>
        <v>5269.5360000000001</v>
      </c>
      <c r="C4" s="20">
        <f>'CWU-EWU-TESC-WWU Data'!C33</f>
        <v>4995.6768000000002</v>
      </c>
      <c r="D4" s="20">
        <f>'CWU-EWU-TESC-WWU Data'!D33</f>
        <v>5280.768</v>
      </c>
      <c r="E4" s="20">
        <f>'CWU-EWU-TESC-WWU Data'!E33</f>
        <v>5368.8960000000006</v>
      </c>
      <c r="F4" s="20">
        <f>'UW Data'!B57</f>
        <v>8832.6720000000005</v>
      </c>
      <c r="G4" s="20">
        <f>'WSU Data'!F40</f>
        <v>6682.5</v>
      </c>
    </row>
    <row r="5" spans="1:8" ht="15" x14ac:dyDescent="0.3">
      <c r="A5" s="33" t="str">
        <f>'CWU-EWU-TESC-WWU Data'!A34</f>
        <v>Approximate amount of state support per UG</v>
      </c>
      <c r="B5" s="34">
        <f>'CWU-EWU-TESC-WWU Data'!B34</f>
        <v>3616.4634231084219</v>
      </c>
      <c r="C5" s="34">
        <f>'CWU-EWU-TESC-WWU Data'!C34</f>
        <v>3811.57512839018</v>
      </c>
      <c r="D5" s="34">
        <f>'CWU-EWU-TESC-WWU Data'!D34</f>
        <v>5922.3406913679009</v>
      </c>
      <c r="E5" s="34">
        <f>'CWU-EWU-TESC-WWU Data'!E34</f>
        <v>3676.1918730008347</v>
      </c>
      <c r="F5" s="34">
        <f>'UW Data'!B58</f>
        <v>4753.4928012113396</v>
      </c>
      <c r="G5" s="34">
        <f>'WSU Data'!F41</f>
        <v>3958.3304787485722</v>
      </c>
      <c r="H5" s="34">
        <f>'SBCTC exp-no tuition'!H9</f>
        <v>3930.3090861995024</v>
      </c>
    </row>
    <row r="6" spans="1:8" ht="15" x14ac:dyDescent="0.3">
      <c r="B6" s="20"/>
      <c r="C6" s="20"/>
      <c r="D6" s="20"/>
      <c r="E6" s="20"/>
      <c r="F6" s="20"/>
      <c r="G6" s="20"/>
    </row>
    <row r="7" spans="1:8" ht="15" x14ac:dyDescent="0.3">
      <c r="A7" s="33" t="str">
        <f>'CWU-EWU-TESC-WWU Data'!A36</f>
        <v>Expenditure per Grad FTES</v>
      </c>
      <c r="B7" s="34">
        <f>'CWU-EWU-TESC-WWU Data'!B36</f>
        <v>12172.930609716226</v>
      </c>
      <c r="C7" s="34">
        <f>'CWU-EWU-TESC-WWU Data'!C36</f>
        <v>12065.054416701707</v>
      </c>
      <c r="D7" s="34">
        <f>'CWU-EWU-TESC-WWU Data'!D36</f>
        <v>15347.138596304887</v>
      </c>
      <c r="E7" s="34">
        <f>'CWU-EWU-TESC-WWU Data'!E36</f>
        <v>12390.865877223843</v>
      </c>
      <c r="F7" s="34">
        <f>'UW Data'!B61</f>
        <v>23433.575705804778</v>
      </c>
      <c r="G7" s="34">
        <f>'WSU Data'!F43</f>
        <v>20322.47263271462</v>
      </c>
      <c r="H7" s="46" t="s">
        <v>32</v>
      </c>
    </row>
    <row r="8" spans="1:8" ht="15" x14ac:dyDescent="0.3">
      <c r="A8" t="str">
        <f>'CWU-EWU-TESC-WWU Data'!A41</f>
        <v>Net Resident GR Tuition Level</v>
      </c>
      <c r="B8" s="20">
        <f>'CWU-EWU-TESC-WWU Data'!B41</f>
        <v>6250.1760000000004</v>
      </c>
      <c r="C8" s="20">
        <f>'CWU-EWU-TESC-WWU Data'!C41</f>
        <v>6965.0688</v>
      </c>
      <c r="D8" s="20">
        <f>'CWU-EWU-TESC-WWU Data'!D41</f>
        <v>5918.4</v>
      </c>
      <c r="E8" s="20">
        <f>'CWU-EWU-TESC-WWU Data'!E41</f>
        <v>5852.7360000000008</v>
      </c>
      <c r="F8" s="20">
        <f>'UW Data'!B66</f>
        <v>10840.608</v>
      </c>
      <c r="G8" s="20">
        <f>'WSU Data'!F48</f>
        <v>7040.25</v>
      </c>
      <c r="H8" s="20">
        <v>0</v>
      </c>
    </row>
    <row r="9" spans="1:8" ht="15" x14ac:dyDescent="0.3">
      <c r="A9" s="33" t="str">
        <f>'CWU-EWU-TESC-WWU Data'!A42</f>
        <v>Approximate amount of state support per  GR</v>
      </c>
      <c r="B9" s="34">
        <f>'CWU-EWU-TESC-WWU Data'!B42</f>
        <v>5922.7546097162258</v>
      </c>
      <c r="C9" s="34">
        <f>'CWU-EWU-TESC-WWU Data'!C42</f>
        <v>5099.9856167017069</v>
      </c>
      <c r="D9" s="34">
        <f>'CWU-EWU-TESC-WWU Data'!D42</f>
        <v>9428.7385963048873</v>
      </c>
      <c r="E9" s="34">
        <f>'CWU-EWU-TESC-WWU Data'!E42</f>
        <v>6538.1298772238424</v>
      </c>
      <c r="F9" s="34">
        <f>'UW Data'!B67</f>
        <v>12592.967705804778</v>
      </c>
      <c r="G9" s="34">
        <f>'WSU Data'!F49</f>
        <v>13282.22263271462</v>
      </c>
      <c r="H9" s="46">
        <v>0</v>
      </c>
    </row>
    <row r="10" spans="1:8" ht="15" x14ac:dyDescent="0.3">
      <c r="B10" s="20"/>
      <c r="C10" s="20"/>
      <c r="D10" s="20"/>
      <c r="E10" s="20"/>
      <c r="F10" s="20"/>
      <c r="G10" s="20"/>
    </row>
    <row r="11" spans="1:8" ht="15" x14ac:dyDescent="0.3">
      <c r="A11" s="33" t="str">
        <f>'CWU-EWU-TESC-WWU Data'!A44</f>
        <v>Expenditure per UG Engineering FTE</v>
      </c>
      <c r="B11" s="34">
        <f>'CWU-EWU-TESC-WWU Data'!B44</f>
        <v>13002</v>
      </c>
      <c r="C11" s="34">
        <f>'CWU-EWU-TESC-WWU Data'!C44</f>
        <v>13420.515757847534</v>
      </c>
      <c r="D11" s="46" t="str">
        <f>'CWU-EWU-TESC-WWU Data'!D44</f>
        <v>N/A</v>
      </c>
      <c r="E11" s="46" t="str">
        <f>'CWU-EWU-TESC-WWU Data'!E44</f>
        <v>N/A</v>
      </c>
      <c r="F11" s="46">
        <f>'UW Data'!B70</f>
        <v>23150.436126482055</v>
      </c>
      <c r="G11" s="46">
        <f>'WSU Data'!C66</f>
        <v>17999.400000000001</v>
      </c>
      <c r="H11" s="46" t="s">
        <v>32</v>
      </c>
    </row>
    <row r="12" spans="1:8" ht="15" x14ac:dyDescent="0.3">
      <c r="A12" t="str">
        <f>'CWU-EWU-TESC-WWU Data'!A49</f>
        <v>Net Resident UG Tuition Level</v>
      </c>
      <c r="B12" s="20">
        <f>'CWU-EWU-TESC-WWU Data'!B49</f>
        <v>5269.5360000000001</v>
      </c>
      <c r="C12" s="20">
        <f>'CWU-EWU-TESC-WWU Data'!C49</f>
        <v>4995.6768000000002</v>
      </c>
      <c r="D12" s="20">
        <f>'CWU-EWU-TESC-WWU Data'!D49</f>
        <v>0</v>
      </c>
      <c r="E12" s="20">
        <f>'CWU-EWU-TESC-WWU Data'!E49</f>
        <v>0</v>
      </c>
      <c r="F12" s="20">
        <f>'UW Data'!B75</f>
        <v>8832.6720000000005</v>
      </c>
      <c r="G12" s="20">
        <f>'WSU Data'!C67</f>
        <v>6683</v>
      </c>
      <c r="H12" s="20">
        <v>0</v>
      </c>
    </row>
    <row r="13" spans="1:8" ht="15" x14ac:dyDescent="0.3">
      <c r="A13" s="33" t="str">
        <f>'CWU-EWU-TESC-WWU Data'!A50</f>
        <v>Approximate amount of state support per engineering student</v>
      </c>
      <c r="B13" s="34">
        <f>'CWU-EWU-TESC-WWU Data'!B50</f>
        <v>7732.4639999999999</v>
      </c>
      <c r="C13" s="34">
        <f>'CWU-EWU-TESC-WWU Data'!C50</f>
        <v>8424.8389578475326</v>
      </c>
      <c r="D13" s="34">
        <f>'CWU-EWU-TESC-WWU Data'!D50</f>
        <v>0</v>
      </c>
      <c r="E13" s="34">
        <f>'CWU-EWU-TESC-WWU Data'!E50</f>
        <v>0</v>
      </c>
      <c r="F13" s="34">
        <f>'UW Data'!B76</f>
        <v>14317.764126482054</v>
      </c>
      <c r="G13" s="34">
        <f>'WSU Data'!C68</f>
        <v>11316.400000000001</v>
      </c>
      <c r="H13" s="34">
        <v>0</v>
      </c>
    </row>
    <row r="14" spans="1:8" ht="15" x14ac:dyDescent="0.3">
      <c r="B14" s="20"/>
      <c r="C14" s="20"/>
      <c r="D14" s="20"/>
      <c r="E14" s="20"/>
    </row>
    <row r="15" spans="1:8" ht="15" x14ac:dyDescent="0.3">
      <c r="A15" s="33" t="str">
        <f>'CWU-EWU-TESC-WWU Data'!A52</f>
        <v>Expenditure per UG Nursing FTE</v>
      </c>
      <c r="B15" s="46" t="str">
        <f>'CWU-EWU-TESC-WWU Data'!B52</f>
        <v>N/A</v>
      </c>
      <c r="C15" s="46" t="str">
        <f>'CWU-EWU-TESC-WWU Data'!C52</f>
        <v>N/A</v>
      </c>
      <c r="D15" s="46" t="str">
        <f>'CWU-EWU-TESC-WWU Data'!D52</f>
        <v>N/A</v>
      </c>
      <c r="E15" s="46" t="str">
        <f>'CWU-EWU-TESC-WWU Data'!E52</f>
        <v>N/A</v>
      </c>
      <c r="F15" s="34">
        <f>'UW Data'!B78</f>
        <v>30723.187953018496</v>
      </c>
      <c r="G15" s="34">
        <f>'WSU Data'!C70</f>
        <v>20057.009999999998</v>
      </c>
      <c r="H15" s="46" t="s">
        <v>32</v>
      </c>
    </row>
    <row r="16" spans="1:8" ht="15" x14ac:dyDescent="0.3">
      <c r="A16" t="str">
        <f>'CWU-EWU-TESC-WWU Data'!A57</f>
        <v>Net Resident UG Tuition Level</v>
      </c>
      <c r="B16" s="20">
        <f>'CWU-EWU-TESC-WWU Data'!B57</f>
        <v>0</v>
      </c>
      <c r="C16" s="20">
        <f>'CWU-EWU-TESC-WWU Data'!C57</f>
        <v>0</v>
      </c>
      <c r="D16" s="20">
        <f>'CWU-EWU-TESC-WWU Data'!D57</f>
        <v>0</v>
      </c>
      <c r="E16" s="20">
        <f>'CWU-EWU-TESC-WWU Data'!E57</f>
        <v>0</v>
      </c>
      <c r="F16" s="20">
        <f>'UW Data'!B83</f>
        <v>8832.6720000000005</v>
      </c>
      <c r="G16" s="20">
        <f>'WSU Data'!C71</f>
        <v>6683</v>
      </c>
      <c r="H16" s="20">
        <v>0</v>
      </c>
    </row>
    <row r="17" spans="1:8" ht="15" x14ac:dyDescent="0.3">
      <c r="A17" s="33" t="str">
        <f>'CWU-EWU-TESC-WWU Data'!A58</f>
        <v>Approximate amount of state support per nursing student</v>
      </c>
      <c r="B17" s="34">
        <f>'CWU-EWU-TESC-WWU Data'!B58</f>
        <v>0</v>
      </c>
      <c r="C17" s="34">
        <f>'CWU-EWU-TESC-WWU Data'!C58</f>
        <v>0</v>
      </c>
      <c r="D17" s="34">
        <f>'CWU-EWU-TESC-WWU Data'!D58</f>
        <v>0</v>
      </c>
      <c r="E17" s="34">
        <f>'CWU-EWU-TESC-WWU Data'!E58</f>
        <v>0</v>
      </c>
      <c r="F17" s="34">
        <f>'UW Data'!B84</f>
        <v>21890.515953018497</v>
      </c>
      <c r="G17" s="34">
        <f>'WSU Data'!C72</f>
        <v>13374.009999999998</v>
      </c>
      <c r="H17" s="34">
        <v>0</v>
      </c>
    </row>
    <row r="19" spans="1:8" ht="15" x14ac:dyDescent="0.3">
      <c r="A19" s="33" t="str">
        <f>'CWU-EWU-TESC-WWU Data'!A60</f>
        <v>Expenditure per remedial FTE</v>
      </c>
      <c r="B19" s="34">
        <f>'CWU-EWU-TESC-WWU Data'!B60</f>
        <v>3675.3908045977009</v>
      </c>
      <c r="C19" s="34">
        <f>'CWU-EWU-TESC-WWU Data'!C60</f>
        <v>2722.4973789256196</v>
      </c>
      <c r="D19" s="46" t="str">
        <f>'CWU-EWU-TESC-WWU Data'!D60</f>
        <v>N/A</v>
      </c>
      <c r="E19" s="46" t="str">
        <f>'CWU-EWU-TESC-WWU Data'!E60</f>
        <v>N/A</v>
      </c>
      <c r="F19" s="46" t="s">
        <v>32</v>
      </c>
      <c r="G19" s="46" t="s">
        <v>32</v>
      </c>
      <c r="H19" s="34">
        <f>'SBCTC exp-incl tuition'!D8</f>
        <v>4672.070328062483</v>
      </c>
    </row>
    <row r="20" spans="1:8" ht="15" x14ac:dyDescent="0.3">
      <c r="A20" t="str">
        <f>'CWU-EWU-TESC-WWU Data'!A65</f>
        <v>Net Resident UG Tuition Level</v>
      </c>
      <c r="B20" s="20">
        <f>'CWU-EWU-TESC-WWU Data'!B65</f>
        <v>0</v>
      </c>
      <c r="C20" s="20">
        <f>'CWU-EWU-TESC-WWU Data'!C65</f>
        <v>4995.6768000000002</v>
      </c>
      <c r="D20" s="20">
        <f>'CWU-EWU-TESC-WWU Data'!D65</f>
        <v>0</v>
      </c>
      <c r="E20" s="20">
        <f>'CWU-EWU-TESC-WWU Data'!E65</f>
        <v>0</v>
      </c>
      <c r="F20" s="20">
        <f>'CWU-EWU-TESC-WWU Data'!F65</f>
        <v>0</v>
      </c>
      <c r="G20" s="20">
        <f>'CWU-EWU-TESC-WWU Data'!G65</f>
        <v>0</v>
      </c>
    </row>
    <row r="21" spans="1:8" ht="15" x14ac:dyDescent="0.3">
      <c r="A21" s="33" t="str">
        <f>'CWU-EWU-TESC-WWU Data'!A66</f>
        <v>Approximate amount of state support per remedial student</v>
      </c>
      <c r="B21" s="34">
        <f>'CWU-EWU-TESC-WWU Data'!B66</f>
        <v>0</v>
      </c>
      <c r="C21" s="34">
        <f>'CWU-EWU-TESC-WWU Data'!C66</f>
        <v>0</v>
      </c>
      <c r="D21" s="34">
        <f>'CWU-EWU-TESC-WWU Data'!D66</f>
        <v>0</v>
      </c>
      <c r="E21" s="34">
        <f>'CWU-EWU-TESC-WWU Data'!E66</f>
        <v>0</v>
      </c>
      <c r="F21" s="34">
        <f>'CWU-EWU-TESC-WWU Data'!F66</f>
        <v>0</v>
      </c>
      <c r="G21" s="34">
        <f>'CWU-EWU-TESC-WWU Data'!G66</f>
        <v>0</v>
      </c>
      <c r="H21" s="34">
        <f>'SBCTC exp-no tuition'!D9</f>
        <v>3038.0776267074452</v>
      </c>
    </row>
    <row r="23" spans="1:8" ht="31.5" customHeight="1" x14ac:dyDescent="0.3">
      <c r="A23" s="209" t="s">
        <v>137</v>
      </c>
      <c r="B23" s="209"/>
      <c r="C23" s="209"/>
      <c r="D23" s="209"/>
      <c r="E23" s="209"/>
      <c r="F23" s="209"/>
      <c r="G23" s="209"/>
      <c r="H23" s="209"/>
    </row>
  </sheetData>
  <mergeCells count="1">
    <mergeCell ref="A23:H23"/>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3"/>
  <sheetViews>
    <sheetView workbookViewId="0">
      <selection activeCell="E26" sqref="E26"/>
    </sheetView>
  </sheetViews>
  <sheetFormatPr defaultRowHeight="14.4" x14ac:dyDescent="0.3"/>
  <cols>
    <col min="1" max="1" width="54" bestFit="1" customWidth="1"/>
    <col min="2" max="5" width="11.5546875" bestFit="1" customWidth="1"/>
    <col min="6" max="6" width="11.5546875" customWidth="1"/>
    <col min="7" max="7" width="12.44140625" customWidth="1"/>
  </cols>
  <sheetData>
    <row r="1" spans="1:8" s="30" customFormat="1" ht="30" customHeight="1" x14ac:dyDescent="0.3">
      <c r="B1" s="31" t="str">
        <f>'CWU-EWU-TESC-WWU Data'!B3</f>
        <v>Central</v>
      </c>
      <c r="C1" s="31" t="str">
        <f>'CWU-EWU-TESC-WWU Data'!C3</f>
        <v>Eastern*</v>
      </c>
      <c r="D1" s="31" t="str">
        <f>'CWU-EWU-TESC-WWU Data'!D3</f>
        <v>Evergreen</v>
      </c>
      <c r="E1" s="31" t="str">
        <f>'CWU-EWU-TESC-WWU Data'!E3</f>
        <v>Western</v>
      </c>
      <c r="F1" s="32" t="s">
        <v>24</v>
      </c>
      <c r="G1" s="31" t="s">
        <v>25</v>
      </c>
      <c r="H1" s="31" t="s">
        <v>110</v>
      </c>
    </row>
    <row r="3" spans="1:8" ht="15" x14ac:dyDescent="0.3">
      <c r="A3" s="33" t="str">
        <f>'CWU-EWU-TESC-WWU Data'!A28</f>
        <v>Expenditure per UG FTES</v>
      </c>
      <c r="B3" s="34">
        <f>'CWU-EWU-TESC-WWU Data'!B28</f>
        <v>8885.999423108422</v>
      </c>
      <c r="C3" s="34">
        <f>'CWU-EWU-TESC-WWU Data'!C28</f>
        <v>8807.2519283901802</v>
      </c>
      <c r="D3" s="34">
        <f>'CWU-EWU-TESC-WWU Data'!D28</f>
        <v>11203.108691367901</v>
      </c>
      <c r="E3" s="34">
        <f>'CWU-EWU-TESC-WWU Data'!E28</f>
        <v>9045.0878730008353</v>
      </c>
      <c r="F3" s="34">
        <f>'UW Data'!B52</f>
        <v>13586.16480121134</v>
      </c>
      <c r="G3" s="34">
        <f>'WSU Data'!F35</f>
        <v>10640.830478748599</v>
      </c>
      <c r="H3" s="34">
        <f>'SBCTC exp-incl tuition'!H8</f>
        <v>6094.1627233287891</v>
      </c>
    </row>
    <row r="4" spans="1:8" ht="15" x14ac:dyDescent="0.3">
      <c r="A4" t="s">
        <v>185</v>
      </c>
      <c r="B4" s="20">
        <f>'CWU-EWU-TESC-WWU Data'!G33</f>
        <v>15375.743999999999</v>
      </c>
      <c r="C4" s="20">
        <f>'CWU-EWU-TESC-WWU Data'!H33</f>
        <v>14074.531199999999</v>
      </c>
      <c r="D4" s="20">
        <f>'CWU-EWU-TESC-WWU Data'!I33</f>
        <v>14554.08</v>
      </c>
      <c r="E4" s="20">
        <f>'CWU-EWU-TESC-WWU Data'!J33</f>
        <v>15029.28</v>
      </c>
      <c r="F4" s="20">
        <f>'UW Data'!C57</f>
        <v>23938.847999999998</v>
      </c>
      <c r="G4" s="20">
        <f>'WSU Data'!G40</f>
        <v>18521.184000000001</v>
      </c>
    </row>
    <row r="5" spans="1:8" ht="15" x14ac:dyDescent="0.3">
      <c r="A5" s="33" t="str">
        <f>'CWU-EWU-TESC-WWU Data'!A34</f>
        <v>Approximate amount of state support per UG</v>
      </c>
      <c r="B5" s="34">
        <v>0</v>
      </c>
      <c r="C5" s="34">
        <v>0</v>
      </c>
      <c r="D5" s="34">
        <v>0</v>
      </c>
      <c r="E5" s="34">
        <v>0</v>
      </c>
      <c r="F5" s="34">
        <v>0</v>
      </c>
      <c r="G5" s="34">
        <v>0</v>
      </c>
      <c r="H5" s="34">
        <v>0</v>
      </c>
    </row>
    <row r="6" spans="1:8" ht="15" x14ac:dyDescent="0.3">
      <c r="B6" s="20"/>
      <c r="C6" s="20"/>
      <c r="D6" s="20"/>
      <c r="E6" s="20"/>
      <c r="F6" s="20"/>
      <c r="G6" s="20"/>
    </row>
    <row r="7" spans="1:8" ht="15" x14ac:dyDescent="0.3">
      <c r="A7" s="33" t="str">
        <f>'CWU-EWU-TESC-WWU Data'!A36</f>
        <v>Expenditure per Grad FTES</v>
      </c>
      <c r="B7" s="34">
        <f>'CWU-EWU-TESC-WWU Data'!B36</f>
        <v>12172.930609716226</v>
      </c>
      <c r="C7" s="34">
        <f>'CWU-EWU-TESC-WWU Data'!C36</f>
        <v>12065.054416701707</v>
      </c>
      <c r="D7" s="34">
        <f>'CWU-EWU-TESC-WWU Data'!D36</f>
        <v>15347.138596304887</v>
      </c>
      <c r="E7" s="34">
        <f>'CWU-EWU-TESC-WWU Data'!E36</f>
        <v>12390.865877223843</v>
      </c>
      <c r="F7" s="34">
        <f>'UW Data'!B61</f>
        <v>23433.575705804778</v>
      </c>
      <c r="G7" s="34">
        <f>'WSU Data'!F43</f>
        <v>20322.47263271462</v>
      </c>
      <c r="H7" s="46" t="s">
        <v>32</v>
      </c>
    </row>
    <row r="8" spans="1:8" ht="15" x14ac:dyDescent="0.3">
      <c r="A8" t="s">
        <v>186</v>
      </c>
      <c r="B8" s="20">
        <f>'CWU-EWU-TESC-WWU Data'!G41</f>
        <v>15676.416000000001</v>
      </c>
      <c r="C8" s="20">
        <f>'CWU-EWU-TESC-WWU Data'!H41</f>
        <v>17716.838400000001</v>
      </c>
      <c r="D8" s="20">
        <f>'CWU-EWU-TESC-WWU Data'!I41</f>
        <v>16347.744000000001</v>
      </c>
      <c r="E8" s="20">
        <f>'CWU-EWU-TESC-WWU Data'!J41</f>
        <v>14860.8</v>
      </c>
      <c r="F8" s="20">
        <f>'UW Data'!C66</f>
        <v>21960.288</v>
      </c>
      <c r="G8" s="20">
        <f>'WSU Data'!G48</f>
        <v>20515.900799999999</v>
      </c>
      <c r="H8" s="20">
        <v>0</v>
      </c>
    </row>
    <row r="9" spans="1:8" ht="15" x14ac:dyDescent="0.3">
      <c r="A9" s="33" t="str">
        <f>'CWU-EWU-TESC-WWU Data'!A42</f>
        <v>Approximate amount of state support per  GR</v>
      </c>
      <c r="B9" s="34">
        <v>0</v>
      </c>
      <c r="C9" s="34">
        <v>0</v>
      </c>
      <c r="D9" s="34">
        <v>0</v>
      </c>
      <c r="E9" s="34">
        <v>0</v>
      </c>
      <c r="F9" s="34">
        <v>0</v>
      </c>
      <c r="G9" s="34">
        <v>0</v>
      </c>
      <c r="H9" s="46">
        <v>0</v>
      </c>
    </row>
    <row r="10" spans="1:8" ht="15" x14ac:dyDescent="0.3">
      <c r="B10" s="20"/>
      <c r="C10" s="20"/>
      <c r="D10" s="20"/>
      <c r="E10" s="20"/>
      <c r="F10" s="20"/>
      <c r="G10" s="20"/>
    </row>
    <row r="11" spans="1:8" ht="15" x14ac:dyDescent="0.3">
      <c r="A11" s="33" t="str">
        <f>'CWU-EWU-TESC-WWU Data'!A44</f>
        <v>Expenditure per UG Engineering FTE</v>
      </c>
      <c r="B11" s="34">
        <f>'CWU-EWU-TESC-WWU Data'!B44</f>
        <v>13002</v>
      </c>
      <c r="C11" s="34">
        <f>'CWU-EWU-TESC-WWU Data'!C44</f>
        <v>13420.515757847534</v>
      </c>
      <c r="D11" s="46" t="str">
        <f>'CWU-EWU-TESC-WWU Data'!D44</f>
        <v>N/A</v>
      </c>
      <c r="E11" s="46" t="str">
        <f>'CWU-EWU-TESC-WWU Data'!E44</f>
        <v>N/A</v>
      </c>
      <c r="F11" s="46">
        <f>'UW Data'!B70</f>
        <v>23150.436126482055</v>
      </c>
      <c r="G11" s="46">
        <f>'WSU Data'!C66</f>
        <v>17999.400000000001</v>
      </c>
      <c r="H11" s="46" t="s">
        <v>32</v>
      </c>
    </row>
    <row r="12" spans="1:8" ht="15" x14ac:dyDescent="0.3">
      <c r="A12" t="s">
        <v>185</v>
      </c>
      <c r="B12" s="20">
        <f>B4</f>
        <v>15375.743999999999</v>
      </c>
      <c r="C12" s="20">
        <f>C4</f>
        <v>14074.531199999999</v>
      </c>
      <c r="D12" s="20">
        <f>'CWU-EWU-TESC-WWU Data'!D49</f>
        <v>0</v>
      </c>
      <c r="E12" s="20">
        <f>'CWU-EWU-TESC-WWU Data'!E49</f>
        <v>0</v>
      </c>
      <c r="F12" s="20">
        <f>F4</f>
        <v>23938.847999999998</v>
      </c>
      <c r="G12" s="20">
        <f>G4</f>
        <v>18521.184000000001</v>
      </c>
      <c r="H12" s="20">
        <v>0</v>
      </c>
    </row>
    <row r="13" spans="1:8" ht="15" x14ac:dyDescent="0.3">
      <c r="A13" s="33" t="str">
        <f>'CWU-EWU-TESC-WWU Data'!A50</f>
        <v>Approximate amount of state support per engineering student</v>
      </c>
      <c r="B13" s="34">
        <v>0</v>
      </c>
      <c r="C13" s="34">
        <v>0</v>
      </c>
      <c r="D13" s="34">
        <v>0</v>
      </c>
      <c r="E13" s="34">
        <f>'CWU-EWU-TESC-WWU Data'!E50</f>
        <v>0</v>
      </c>
      <c r="F13" s="34">
        <v>0</v>
      </c>
      <c r="G13" s="34">
        <v>0</v>
      </c>
      <c r="H13" s="34">
        <v>0</v>
      </c>
    </row>
    <row r="14" spans="1:8" ht="15" x14ac:dyDescent="0.3">
      <c r="B14" s="20"/>
      <c r="C14" s="20"/>
      <c r="D14" s="20"/>
      <c r="E14" s="20"/>
    </row>
    <row r="15" spans="1:8" ht="15" x14ac:dyDescent="0.3">
      <c r="A15" s="33" t="str">
        <f>'CWU-EWU-TESC-WWU Data'!A52</f>
        <v>Expenditure per UG Nursing FTE</v>
      </c>
      <c r="B15" s="46" t="str">
        <f>'CWU-EWU-TESC-WWU Data'!B52</f>
        <v>N/A</v>
      </c>
      <c r="C15" s="46" t="str">
        <f>'CWU-EWU-TESC-WWU Data'!C52</f>
        <v>N/A</v>
      </c>
      <c r="D15" s="46" t="str">
        <f>'CWU-EWU-TESC-WWU Data'!D52</f>
        <v>N/A</v>
      </c>
      <c r="E15" s="46" t="str">
        <f>'CWU-EWU-TESC-WWU Data'!E52</f>
        <v>N/A</v>
      </c>
      <c r="F15" s="34">
        <f>'UW Data'!B78</f>
        <v>30723.187953018496</v>
      </c>
      <c r="G15" s="34">
        <f>'WSU Data'!C70</f>
        <v>20057.009999999998</v>
      </c>
      <c r="H15" s="46" t="s">
        <v>32</v>
      </c>
    </row>
    <row r="16" spans="1:8" ht="15" x14ac:dyDescent="0.3">
      <c r="A16" t="s">
        <v>185</v>
      </c>
      <c r="B16" s="20">
        <f>'CWU-EWU-TESC-WWU Data'!B57</f>
        <v>0</v>
      </c>
      <c r="C16" s="20">
        <f>'CWU-EWU-TESC-WWU Data'!C57</f>
        <v>0</v>
      </c>
      <c r="D16" s="20">
        <f>'CWU-EWU-TESC-WWU Data'!D57</f>
        <v>0</v>
      </c>
      <c r="E16" s="20">
        <f>'CWU-EWU-TESC-WWU Data'!E57</f>
        <v>0</v>
      </c>
      <c r="F16" s="20">
        <f>F4</f>
        <v>23938.847999999998</v>
      </c>
      <c r="G16" s="20">
        <f>G4</f>
        <v>18521.184000000001</v>
      </c>
      <c r="H16" s="20">
        <v>0</v>
      </c>
    </row>
    <row r="17" spans="1:8" ht="15" x14ac:dyDescent="0.3">
      <c r="A17" s="33" t="str">
        <f>'CWU-EWU-TESC-WWU Data'!A58</f>
        <v>Approximate amount of state support per nursing student</v>
      </c>
      <c r="B17" s="34">
        <f>'CWU-EWU-TESC-WWU Data'!B58</f>
        <v>0</v>
      </c>
      <c r="C17" s="34">
        <f>'CWU-EWU-TESC-WWU Data'!C58</f>
        <v>0</v>
      </c>
      <c r="D17" s="34">
        <f>'CWU-EWU-TESC-WWU Data'!D58</f>
        <v>0</v>
      </c>
      <c r="E17" s="34">
        <f>'CWU-EWU-TESC-WWU Data'!E58</f>
        <v>0</v>
      </c>
      <c r="F17" s="34">
        <v>0</v>
      </c>
      <c r="G17" s="34">
        <v>0</v>
      </c>
      <c r="H17" s="34">
        <v>0</v>
      </c>
    </row>
    <row r="19" spans="1:8" ht="15" x14ac:dyDescent="0.3">
      <c r="A19" s="33" t="str">
        <f>'CWU-EWU-TESC-WWU Data'!A60</f>
        <v>Expenditure per remedial FTE</v>
      </c>
      <c r="B19" s="34">
        <f>'CWU-EWU-TESC-WWU Data'!B60</f>
        <v>3675.3908045977009</v>
      </c>
      <c r="C19" s="34">
        <f>'CWU-EWU-TESC-WWU Data'!C60</f>
        <v>2722.4973789256196</v>
      </c>
      <c r="D19" s="46" t="str">
        <f>'CWU-EWU-TESC-WWU Data'!D60</f>
        <v>N/A</v>
      </c>
      <c r="E19" s="46" t="str">
        <f>'CWU-EWU-TESC-WWU Data'!E60</f>
        <v>N/A</v>
      </c>
      <c r="F19" s="46" t="s">
        <v>32</v>
      </c>
      <c r="G19" s="46" t="s">
        <v>32</v>
      </c>
      <c r="H19" s="34">
        <f>'SBCTC exp-incl tuition'!D8</f>
        <v>4672.070328062483</v>
      </c>
    </row>
    <row r="20" spans="1:8" ht="15" x14ac:dyDescent="0.3">
      <c r="A20" t="s">
        <v>185</v>
      </c>
      <c r="B20" s="20">
        <f>'CWU-EWU-TESC-WWU Data'!B65</f>
        <v>0</v>
      </c>
      <c r="C20" s="20">
        <f>C4</f>
        <v>14074.531199999999</v>
      </c>
      <c r="D20" s="20">
        <f>'CWU-EWU-TESC-WWU Data'!D65</f>
        <v>0</v>
      </c>
      <c r="E20" s="20">
        <f>'CWU-EWU-TESC-WWU Data'!E65</f>
        <v>0</v>
      </c>
      <c r="F20" s="20">
        <f>'CWU-EWU-TESC-WWU Data'!F65</f>
        <v>0</v>
      </c>
      <c r="G20" s="20">
        <f>'CWU-EWU-TESC-WWU Data'!G65</f>
        <v>0</v>
      </c>
    </row>
    <row r="21" spans="1:8" ht="15" x14ac:dyDescent="0.3">
      <c r="A21" s="33" t="str">
        <f>'CWU-EWU-TESC-WWU Data'!A66</f>
        <v>Approximate amount of state support per remedial student</v>
      </c>
      <c r="B21" s="34">
        <f>'CWU-EWU-TESC-WWU Data'!B66</f>
        <v>0</v>
      </c>
      <c r="C21" s="34">
        <f>'CWU-EWU-TESC-WWU Data'!C66</f>
        <v>0</v>
      </c>
      <c r="D21" s="34">
        <f>'CWU-EWU-TESC-WWU Data'!D66</f>
        <v>0</v>
      </c>
      <c r="E21" s="34">
        <f>'CWU-EWU-TESC-WWU Data'!E66</f>
        <v>0</v>
      </c>
      <c r="F21" s="34">
        <f>'CWU-EWU-TESC-WWU Data'!F66</f>
        <v>0</v>
      </c>
      <c r="G21" s="34">
        <f>'CWU-EWU-TESC-WWU Data'!G66</f>
        <v>0</v>
      </c>
      <c r="H21" s="34">
        <v>0</v>
      </c>
    </row>
    <row r="23" spans="1:8" ht="31.5" customHeight="1" x14ac:dyDescent="0.3">
      <c r="A23" s="209" t="s">
        <v>137</v>
      </c>
      <c r="B23" s="209"/>
      <c r="C23" s="209"/>
      <c r="D23" s="209"/>
      <c r="E23" s="209"/>
      <c r="F23" s="209"/>
      <c r="G23" s="209"/>
      <c r="H23" s="209"/>
    </row>
  </sheetData>
  <mergeCells count="1">
    <mergeCell ref="A23:H23"/>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8"/>
  <sheetViews>
    <sheetView zoomScaleNormal="100" workbookViewId="0">
      <selection activeCell="I38" sqref="I38"/>
    </sheetView>
  </sheetViews>
  <sheetFormatPr defaultColWidth="9.109375" defaultRowHeight="14.4" x14ac:dyDescent="0.3"/>
  <cols>
    <col min="1" max="1" width="56.44140625" style="1" customWidth="1"/>
    <col min="2" max="2" width="14" style="1" customWidth="1"/>
    <col min="3" max="3" width="16.5546875" style="1" customWidth="1"/>
    <col min="4" max="4" width="13.88671875" style="1" customWidth="1"/>
    <col min="5" max="5" width="15.109375" style="1" bestFit="1" customWidth="1"/>
    <col min="6" max="6" width="13.109375" style="1" bestFit="1" customWidth="1"/>
    <col min="7" max="7" width="12.6640625" style="1" customWidth="1"/>
    <col min="8" max="8" width="12.5546875" style="1" bestFit="1" customWidth="1"/>
    <col min="9" max="9" width="9.88671875" style="1" bestFit="1" customWidth="1"/>
    <col min="10" max="10" width="11" style="1" customWidth="1"/>
    <col min="11" max="16384" width="9.109375" style="1"/>
  </cols>
  <sheetData>
    <row r="1" spans="1:7" ht="18.149999999999999" x14ac:dyDescent="0.35">
      <c r="A1" s="47"/>
      <c r="C1" s="47"/>
    </row>
    <row r="2" spans="1:7" ht="15" x14ac:dyDescent="0.3">
      <c r="A2" s="48"/>
      <c r="C2" s="48"/>
    </row>
    <row r="3" spans="1:7" ht="15" x14ac:dyDescent="0.3">
      <c r="B3" s="2" t="s">
        <v>1</v>
      </c>
      <c r="C3" s="48" t="s">
        <v>138</v>
      </c>
      <c r="D3" s="2" t="s">
        <v>0</v>
      </c>
      <c r="E3" s="2" t="s">
        <v>19</v>
      </c>
      <c r="F3" s="36"/>
      <c r="G3" s="36"/>
    </row>
    <row r="4" spans="1:7" ht="45.15" x14ac:dyDescent="0.3">
      <c r="A4" s="3"/>
      <c r="B4" s="4" t="s">
        <v>2</v>
      </c>
      <c r="C4" s="4" t="s">
        <v>2</v>
      </c>
      <c r="D4" s="4" t="s">
        <v>2</v>
      </c>
      <c r="E4" s="4" t="s">
        <v>2</v>
      </c>
    </row>
    <row r="5" spans="1:7" ht="15" x14ac:dyDescent="0.3">
      <c r="A5" s="5" t="s">
        <v>3</v>
      </c>
      <c r="B5" s="6">
        <f>9538000+22289821+21522151</f>
        <v>53349972</v>
      </c>
      <c r="C5" s="20">
        <v>40457629.319999993</v>
      </c>
      <c r="D5" s="37">
        <v>21320278</v>
      </c>
      <c r="E5" s="20">
        <f>60758506+8063611</f>
        <v>68822117</v>
      </c>
    </row>
    <row r="6" spans="1:7" ht="15" x14ac:dyDescent="0.3">
      <c r="A6" s="5" t="s">
        <v>4</v>
      </c>
      <c r="B6" s="6">
        <f>108844+11.57</f>
        <v>108855.57</v>
      </c>
      <c r="C6" s="18">
        <v>301441.78000000003</v>
      </c>
      <c r="D6" s="29">
        <v>51442</v>
      </c>
      <c r="E6" s="18">
        <f>610858+114816</f>
        <v>725674</v>
      </c>
    </row>
    <row r="7" spans="1:7" ht="15" x14ac:dyDescent="0.3">
      <c r="A7" s="5" t="s">
        <v>5</v>
      </c>
      <c r="B7" s="6">
        <v>0</v>
      </c>
      <c r="C7" s="18">
        <v>576943.47</v>
      </c>
      <c r="D7" s="29">
        <v>1502429</v>
      </c>
      <c r="E7" s="18">
        <v>0</v>
      </c>
    </row>
    <row r="8" spans="1:7" ht="15" x14ac:dyDescent="0.3">
      <c r="A8" s="5" t="s">
        <v>6</v>
      </c>
      <c r="B8" s="6">
        <f>5859330-106599</f>
        <v>5752731</v>
      </c>
      <c r="C8" s="18">
        <v>7866491.9600000018</v>
      </c>
      <c r="D8" s="29">
        <v>2420631</v>
      </c>
      <c r="E8" s="18">
        <f>2954188+3014285</f>
        <v>5968473</v>
      </c>
    </row>
    <row r="9" spans="1:7" ht="15" x14ac:dyDescent="0.3">
      <c r="A9" s="5" t="s">
        <v>7</v>
      </c>
      <c r="B9" s="6">
        <f>3450480+576</f>
        <v>3451056</v>
      </c>
      <c r="C9" s="18">
        <v>4006727.72</v>
      </c>
      <c r="D9" s="29">
        <v>4645410</v>
      </c>
      <c r="E9" s="18">
        <f>102953+5906383</f>
        <v>6009336</v>
      </c>
    </row>
    <row r="10" spans="1:7" ht="15" x14ac:dyDescent="0.3">
      <c r="A10" s="5" t="s">
        <v>8</v>
      </c>
      <c r="B10" s="6">
        <f>5061680+3660.86</f>
        <v>5065340.8600000003</v>
      </c>
      <c r="C10" s="18">
        <v>10926535.810000002</v>
      </c>
      <c r="D10" s="29">
        <v>4366352</v>
      </c>
      <c r="E10" s="18">
        <f>126718+8963142</f>
        <v>9089860</v>
      </c>
    </row>
    <row r="11" spans="1:7" ht="15" x14ac:dyDescent="0.3">
      <c r="A11" s="5" t="s">
        <v>9</v>
      </c>
      <c r="B11" s="6">
        <f>13087390+26958</f>
        <v>13114348</v>
      </c>
      <c r="C11" s="18">
        <v>13810983.809999999</v>
      </c>
      <c r="D11" s="29">
        <v>10609779</v>
      </c>
      <c r="E11" s="18">
        <f>880+17935716</f>
        <v>17936596</v>
      </c>
    </row>
    <row r="12" spans="1:7" ht="15" x14ac:dyDescent="0.3">
      <c r="A12" s="7" t="s">
        <v>10</v>
      </c>
      <c r="B12" s="8">
        <f>7734289-5126+1211000</f>
        <v>8940163</v>
      </c>
      <c r="C12" s="19">
        <v>13628381.130000003</v>
      </c>
      <c r="D12" s="38">
        <v>6988223</v>
      </c>
      <c r="E12" s="19">
        <v>12922659</v>
      </c>
    </row>
    <row r="13" spans="1:7" s="11" customFormat="1" ht="15.6" x14ac:dyDescent="0.3">
      <c r="A13" s="9" t="s">
        <v>11</v>
      </c>
      <c r="B13" s="10">
        <f>SUM(B5:B12)</f>
        <v>89782466.430000007</v>
      </c>
      <c r="C13" s="10">
        <f>SUM(C5:C12)</f>
        <v>91575135</v>
      </c>
      <c r="D13" s="27">
        <f t="shared" ref="D13" si="0">SUM(D5:D12)</f>
        <v>51904544</v>
      </c>
      <c r="E13" s="10">
        <f t="shared" ref="E13" si="1">SUM(E5:E12)</f>
        <v>121474715</v>
      </c>
    </row>
    <row r="14" spans="1:7" ht="15" x14ac:dyDescent="0.3">
      <c r="A14" s="3" t="s">
        <v>12</v>
      </c>
      <c r="B14" s="3">
        <f>-B6-B7</f>
        <v>-108855.57</v>
      </c>
      <c r="C14" s="19">
        <f>-C6-C7</f>
        <v>-878385.25</v>
      </c>
      <c r="D14" s="38">
        <f t="shared" ref="D14" si="2">-D6-D7</f>
        <v>-1553871</v>
      </c>
      <c r="E14" s="3">
        <f t="shared" ref="E14" si="3">-E6-E7</f>
        <v>-725674</v>
      </c>
    </row>
    <row r="15" spans="1:7" s="11" customFormat="1" ht="15.6" x14ac:dyDescent="0.3">
      <c r="A15" s="9" t="s">
        <v>13</v>
      </c>
      <c r="B15" s="10">
        <f>SUM(B13:B14)</f>
        <v>89673610.860000014</v>
      </c>
      <c r="C15" s="10">
        <f>SUM(C13:C14)</f>
        <v>90696749.75</v>
      </c>
      <c r="D15" s="27">
        <f t="shared" ref="D15" si="4">SUM(D13:D14)</f>
        <v>50350673</v>
      </c>
      <c r="E15" s="10">
        <f t="shared" ref="E15" si="5">SUM(E13:E14)</f>
        <v>120749041</v>
      </c>
    </row>
    <row r="16" spans="1:7" s="14" customFormat="1" ht="28.5" customHeight="1" x14ac:dyDescent="0.3">
      <c r="A16" s="12" t="s">
        <v>14</v>
      </c>
      <c r="B16" s="13">
        <v>0.97109999999999996</v>
      </c>
      <c r="C16" s="13">
        <v>0.97109999999999996</v>
      </c>
      <c r="D16" s="39">
        <v>0.97109999999999996</v>
      </c>
      <c r="E16" s="13">
        <v>0.97109999999999996</v>
      </c>
    </row>
    <row r="17" spans="1:10" ht="15" x14ac:dyDescent="0.3">
      <c r="A17" s="3" t="s">
        <v>15</v>
      </c>
      <c r="B17" s="3">
        <f>-(1-B16)*(B8+B9+B10+B11+B12)</f>
        <v>-1049753.1630540013</v>
      </c>
      <c r="C17" s="19">
        <f>-(1-C16)*(C8+C9+C10+C11+C12)</f>
        <v>-1451910.5804270019</v>
      </c>
      <c r="D17" s="3">
        <f t="shared" ref="D17" si="6">-(1-D16)*(D8+D9+D10+D11+D12)</f>
        <v>-838978.41550000105</v>
      </c>
      <c r="E17" s="3">
        <f t="shared" ref="E17" si="7">-(1-E16)*(E8+E9+E10+E11+E12)</f>
        <v>-1500688.1036000019</v>
      </c>
    </row>
    <row r="18" spans="1:10" s="11" customFormat="1" ht="15.6" x14ac:dyDescent="0.3">
      <c r="A18" s="9" t="s">
        <v>16</v>
      </c>
      <c r="B18" s="10">
        <f>B15+B17</f>
        <v>88623857.69694601</v>
      </c>
      <c r="C18" s="10">
        <f>C15+C17</f>
        <v>89244839.169572994</v>
      </c>
      <c r="D18" s="10">
        <f t="shared" ref="D18" si="8">D15+D17</f>
        <v>49511694.5845</v>
      </c>
      <c r="E18" s="10">
        <f t="shared" ref="E18" si="9">E15+E17</f>
        <v>119248352.8964</v>
      </c>
    </row>
    <row r="19" spans="1:10" s="11" customFormat="1" ht="15.6" x14ac:dyDescent="0.3">
      <c r="A19" s="9"/>
      <c r="B19" s="10"/>
      <c r="C19" s="10"/>
      <c r="D19" s="10"/>
      <c r="E19" s="10"/>
    </row>
    <row r="20" spans="1:10" s="16" customFormat="1" ht="15" x14ac:dyDescent="0.3">
      <c r="A20" s="15" t="s">
        <v>17</v>
      </c>
      <c r="B20" s="15">
        <v>9758</v>
      </c>
      <c r="C20" s="42">
        <f>'[1]Budget Driver Report'!F18</f>
        <v>9914.2333333333354</v>
      </c>
      <c r="D20" s="42">
        <v>4324</v>
      </c>
      <c r="E20" s="15">
        <v>12899</v>
      </c>
    </row>
    <row r="21" spans="1:10" s="16" customFormat="1" ht="15" x14ac:dyDescent="0.3">
      <c r="A21" s="17"/>
      <c r="B21" s="17"/>
      <c r="C21" s="17"/>
      <c r="D21" s="17"/>
      <c r="E21" s="17"/>
    </row>
    <row r="22" spans="1:10" s="9" customFormat="1" ht="15.6" x14ac:dyDescent="0.3">
      <c r="A22" s="21" t="s">
        <v>34</v>
      </c>
      <c r="B22" s="22">
        <f>B18/B20</f>
        <v>9082.1743899309295</v>
      </c>
      <c r="C22" s="22">
        <f>C18/C20</f>
        <v>9001.6883977822763</v>
      </c>
      <c r="D22" s="22">
        <f>D18/D20</f>
        <v>11450.43815552729</v>
      </c>
      <c r="E22" s="22">
        <f>E18/E20</f>
        <v>9244.7750132878518</v>
      </c>
    </row>
    <row r="23" spans="1:10" s="25" customFormat="1" ht="31.35" x14ac:dyDescent="0.3">
      <c r="A23" s="23" t="s">
        <v>35</v>
      </c>
      <c r="B23" s="24">
        <v>0.97840000000000005</v>
      </c>
      <c r="C23" s="24">
        <v>0.97840000000000005</v>
      </c>
      <c r="D23" s="24">
        <v>0.97840000000000005</v>
      </c>
      <c r="E23" s="24">
        <v>0.97840000000000005</v>
      </c>
    </row>
    <row r="24" spans="1:10" s="25" customFormat="1" ht="31.35" x14ac:dyDescent="0.3">
      <c r="A24" s="23" t="s">
        <v>36</v>
      </c>
      <c r="B24" s="24">
        <v>1.3698999999999999</v>
      </c>
      <c r="C24" s="24">
        <v>1.3698999999999999</v>
      </c>
      <c r="D24" s="24">
        <v>1.3698999999999999</v>
      </c>
      <c r="E24" s="24">
        <v>1.3698999999999999</v>
      </c>
    </row>
    <row r="25" spans="1:10" ht="27" x14ac:dyDescent="0.3">
      <c r="A25" s="49" t="s">
        <v>18</v>
      </c>
      <c r="C25" s="49"/>
      <c r="G25" s="18" t="s">
        <v>184</v>
      </c>
    </row>
    <row r="26" spans="1:10" s="16" customFormat="1" ht="15" x14ac:dyDescent="0.3">
      <c r="A26" s="17"/>
      <c r="B26" s="48" t="s">
        <v>1</v>
      </c>
      <c r="C26" s="48" t="s">
        <v>138</v>
      </c>
      <c r="D26" s="48" t="s">
        <v>0</v>
      </c>
      <c r="E26" s="48" t="s">
        <v>19</v>
      </c>
      <c r="G26" s="48" t="s">
        <v>1</v>
      </c>
      <c r="H26" s="48" t="s">
        <v>138</v>
      </c>
      <c r="I26" s="48" t="s">
        <v>0</v>
      </c>
      <c r="J26" s="48" t="s">
        <v>19</v>
      </c>
    </row>
    <row r="28" spans="1:10" s="9" customFormat="1" ht="15.6" x14ac:dyDescent="0.3">
      <c r="A28" s="21" t="s">
        <v>37</v>
      </c>
      <c r="B28" s="22">
        <f>B23*B22</f>
        <v>8885.999423108422</v>
      </c>
      <c r="C28" s="22">
        <f>C23*C22</f>
        <v>8807.2519283901802</v>
      </c>
      <c r="D28" s="22">
        <f>D23*D22</f>
        <v>11203.108691367901</v>
      </c>
      <c r="E28" s="22">
        <f>E23*E22</f>
        <v>9045.0878730008353</v>
      </c>
      <c r="G28" s="22">
        <f>B28</f>
        <v>8885.999423108422</v>
      </c>
      <c r="H28" s="22">
        <f t="shared" ref="H28:J28" si="10">C28</f>
        <v>8807.2519283901802</v>
      </c>
      <c r="I28" s="22">
        <f t="shared" si="10"/>
        <v>11203.108691367901</v>
      </c>
      <c r="J28" s="22">
        <f t="shared" si="10"/>
        <v>9045.0878730008353</v>
      </c>
    </row>
    <row r="29" spans="1:10" s="18" customFormat="1" ht="15" x14ac:dyDescent="0.3">
      <c r="A29" s="18" t="s">
        <v>27</v>
      </c>
      <c r="B29" s="40">
        <v>6099</v>
      </c>
      <c r="C29" s="40">
        <v>5847</v>
      </c>
      <c r="D29" s="40">
        <v>6112</v>
      </c>
      <c r="E29" s="40">
        <v>6214</v>
      </c>
      <c r="G29" s="40">
        <v>17796</v>
      </c>
      <c r="H29" s="40">
        <v>16473</v>
      </c>
      <c r="I29" s="40">
        <v>16845</v>
      </c>
      <c r="J29" s="40">
        <v>17395</v>
      </c>
    </row>
    <row r="30" spans="1:10" s="18" customFormat="1" ht="16.95" x14ac:dyDescent="0.45">
      <c r="A30" s="35" t="s">
        <v>26</v>
      </c>
      <c r="B30" s="41">
        <f>-B29*0.1</f>
        <v>-609.9</v>
      </c>
      <c r="C30" s="41">
        <f>-C29*0.11</f>
        <v>-643.16999999999996</v>
      </c>
      <c r="D30" s="41">
        <f>-D29*0.1</f>
        <v>-611.20000000000005</v>
      </c>
      <c r="E30" s="41">
        <f>-E29*0.1</f>
        <v>-621.40000000000009</v>
      </c>
      <c r="F30" s="18" t="s">
        <v>140</v>
      </c>
      <c r="G30" s="41">
        <f>-G29*0.1</f>
        <v>-1779.6000000000001</v>
      </c>
      <c r="H30" s="41">
        <f>-H29*0.11</f>
        <v>-1812.03</v>
      </c>
      <c r="I30" s="41">
        <f>-I29*0.1</f>
        <v>-1684.5</v>
      </c>
      <c r="J30" s="41">
        <f>-J29*0.1</f>
        <v>-1739.5</v>
      </c>
    </row>
    <row r="31" spans="1:10" s="18" customFormat="1" ht="15" x14ac:dyDescent="0.3">
      <c r="A31" s="18" t="s">
        <v>28</v>
      </c>
      <c r="B31" s="40">
        <f>SUM(B29:B30)</f>
        <v>5489.1</v>
      </c>
      <c r="C31" s="40">
        <f>SUM(C29:C30)</f>
        <v>5203.83</v>
      </c>
      <c r="D31" s="40">
        <f>SUM(D29:D30)</f>
        <v>5500.8</v>
      </c>
      <c r="E31" s="40">
        <f>SUM(E29:E30)</f>
        <v>5592.6</v>
      </c>
      <c r="G31" s="40">
        <f>SUM(G29:G30)</f>
        <v>16016.4</v>
      </c>
      <c r="H31" s="40">
        <f>SUM(H29:H30)</f>
        <v>14660.97</v>
      </c>
      <c r="I31" s="40">
        <f>SUM(I29:I30)</f>
        <v>15160.5</v>
      </c>
      <c r="J31" s="40">
        <f>SUM(J29:J30)</f>
        <v>15655.5</v>
      </c>
    </row>
    <row r="32" spans="1:10" s="18" customFormat="1" ht="16.95" x14ac:dyDescent="0.45">
      <c r="A32" s="35" t="s">
        <v>29</v>
      </c>
      <c r="B32" s="41">
        <f>-B31*0.04</f>
        <v>-219.56400000000002</v>
      </c>
      <c r="C32" s="41">
        <f>-C31*0.04</f>
        <v>-208.1532</v>
      </c>
      <c r="D32" s="41">
        <f>-D31*0.04</f>
        <v>-220.03200000000001</v>
      </c>
      <c r="E32" s="41">
        <f>-E31*0.04</f>
        <v>-223.70400000000001</v>
      </c>
      <c r="F32" s="18" t="s">
        <v>139</v>
      </c>
      <c r="G32" s="41">
        <f>-G31*0.04</f>
        <v>-640.65599999999995</v>
      </c>
      <c r="H32" s="41">
        <f>-H31*0.04</f>
        <v>-586.43880000000001</v>
      </c>
      <c r="I32" s="41">
        <f>-I31*0.04</f>
        <v>-606.41999999999996</v>
      </c>
      <c r="J32" s="41">
        <f>-J31*0.04</f>
        <v>-626.22</v>
      </c>
    </row>
    <row r="33" spans="1:10" s="18" customFormat="1" ht="15" x14ac:dyDescent="0.3">
      <c r="A33" s="18" t="s">
        <v>30</v>
      </c>
      <c r="B33" s="40">
        <f>SUM(B31:B32)</f>
        <v>5269.5360000000001</v>
      </c>
      <c r="C33" s="40">
        <f>SUM(C31:C32)</f>
        <v>4995.6768000000002</v>
      </c>
      <c r="D33" s="40">
        <f>SUM(D31:D32)</f>
        <v>5280.768</v>
      </c>
      <c r="E33" s="40">
        <f>SUM(E31:E32)</f>
        <v>5368.8960000000006</v>
      </c>
      <c r="G33" s="40">
        <f>SUM(G31:G32)</f>
        <v>15375.743999999999</v>
      </c>
      <c r="H33" s="40">
        <f>SUM(H31:H32)</f>
        <v>14074.531199999999</v>
      </c>
      <c r="I33" s="40">
        <f>SUM(I31:I32)</f>
        <v>14554.08</v>
      </c>
      <c r="J33" s="40">
        <f>SUM(J31:J32)</f>
        <v>15029.28</v>
      </c>
    </row>
    <row r="34" spans="1:10" s="18" customFormat="1" ht="15.6" x14ac:dyDescent="0.3">
      <c r="A34" s="21" t="s">
        <v>141</v>
      </c>
      <c r="B34" s="22">
        <f>B28-B33</f>
        <v>3616.4634231084219</v>
      </c>
      <c r="C34" s="22">
        <f>C28-C33</f>
        <v>3811.57512839018</v>
      </c>
      <c r="D34" s="22">
        <f>D28-D33</f>
        <v>5922.3406913679009</v>
      </c>
      <c r="E34" s="22">
        <f t="shared" ref="E34" si="11">E28-E33</f>
        <v>3676.1918730008347</v>
      </c>
      <c r="G34" s="22">
        <v>0</v>
      </c>
      <c r="H34" s="22">
        <v>0</v>
      </c>
      <c r="I34" s="22">
        <v>0</v>
      </c>
      <c r="J34" s="22">
        <v>0</v>
      </c>
    </row>
    <row r="35" spans="1:10" s="26" customFormat="1" ht="15.6" x14ac:dyDescent="0.3">
      <c r="B35" s="27"/>
      <c r="C35" s="27"/>
      <c r="D35" s="27"/>
      <c r="E35" s="27"/>
      <c r="G35" s="27"/>
      <c r="H35" s="27"/>
      <c r="I35" s="27"/>
      <c r="J35" s="27"/>
    </row>
    <row r="36" spans="1:10" s="9" customFormat="1" ht="15.6" x14ac:dyDescent="0.3">
      <c r="A36" s="21" t="s">
        <v>38</v>
      </c>
      <c r="B36" s="22">
        <f>B24*B28</f>
        <v>12172.930609716226</v>
      </c>
      <c r="C36" s="22">
        <f>C24*C28</f>
        <v>12065.054416701707</v>
      </c>
      <c r="D36" s="22">
        <f>D24*D28</f>
        <v>15347.138596304887</v>
      </c>
      <c r="E36" s="22">
        <f>E24*E28</f>
        <v>12390.865877223843</v>
      </c>
      <c r="G36" s="22">
        <f>B36</f>
        <v>12172.930609716226</v>
      </c>
      <c r="H36" s="22">
        <f t="shared" ref="H36:J36" si="12">C36</f>
        <v>12065.054416701707</v>
      </c>
      <c r="I36" s="22">
        <f t="shared" si="12"/>
        <v>15347.138596304887</v>
      </c>
      <c r="J36" s="22">
        <f t="shared" si="12"/>
        <v>12390.865877223843</v>
      </c>
    </row>
    <row r="37" spans="1:10" s="18" customFormat="1" ht="15" x14ac:dyDescent="0.3">
      <c r="A37" s="18" t="s">
        <v>111</v>
      </c>
      <c r="B37" s="40">
        <v>7234</v>
      </c>
      <c r="C37" s="40">
        <v>8152</v>
      </c>
      <c r="D37" s="40">
        <v>6850</v>
      </c>
      <c r="E37" s="40">
        <v>6774</v>
      </c>
      <c r="G37" s="40">
        <v>18144</v>
      </c>
      <c r="H37" s="40">
        <v>20736</v>
      </c>
      <c r="I37" s="40">
        <v>18921</v>
      </c>
      <c r="J37" s="40">
        <v>17200</v>
      </c>
    </row>
    <row r="38" spans="1:10" s="18" customFormat="1" ht="16.95" x14ac:dyDescent="0.45">
      <c r="A38" s="35" t="s">
        <v>26</v>
      </c>
      <c r="B38" s="41">
        <f>-B37*0.1</f>
        <v>-723.40000000000009</v>
      </c>
      <c r="C38" s="41">
        <f>-C37*0.11</f>
        <v>-896.72</v>
      </c>
      <c r="D38" s="41">
        <f>-D37*0.1</f>
        <v>-685</v>
      </c>
      <c r="E38" s="41">
        <f t="shared" ref="E38" si="13">-E37*0.1</f>
        <v>-677.40000000000009</v>
      </c>
      <c r="G38" s="41">
        <f>-G37*0.1</f>
        <v>-1814.4</v>
      </c>
      <c r="H38" s="41">
        <f>-H37*0.11</f>
        <v>-2280.96</v>
      </c>
      <c r="I38" s="41">
        <f>-I37*0.1</f>
        <v>-1892.1000000000001</v>
      </c>
      <c r="J38" s="41">
        <f t="shared" ref="J38" si="14">-J37*0.1</f>
        <v>-1720</v>
      </c>
    </row>
    <row r="39" spans="1:10" s="18" customFormat="1" ht="15" x14ac:dyDescent="0.3">
      <c r="A39" s="18" t="s">
        <v>33</v>
      </c>
      <c r="B39" s="40">
        <f>SUM(B37:B38)</f>
        <v>6510.6</v>
      </c>
      <c r="C39" s="40">
        <f>SUM(C37:C38)</f>
        <v>7255.28</v>
      </c>
      <c r="D39" s="40">
        <f>SUM(D37:D38)</f>
        <v>6165</v>
      </c>
      <c r="E39" s="40">
        <f t="shared" ref="E39" si="15">SUM(E37:E38)</f>
        <v>6096.6</v>
      </c>
      <c r="G39" s="40">
        <f>SUM(G37:G38)</f>
        <v>16329.6</v>
      </c>
      <c r="H39" s="40">
        <f>SUM(H37:H38)</f>
        <v>18455.04</v>
      </c>
      <c r="I39" s="40">
        <f>SUM(I37:I38)</f>
        <v>17028.900000000001</v>
      </c>
      <c r="J39" s="40">
        <f t="shared" ref="J39" si="16">SUM(J37:J38)</f>
        <v>15480</v>
      </c>
    </row>
    <row r="40" spans="1:10" s="18" customFormat="1" ht="16.95" x14ac:dyDescent="0.45">
      <c r="A40" s="35" t="s">
        <v>29</v>
      </c>
      <c r="B40" s="41">
        <f>-B39*0.04</f>
        <v>-260.42400000000004</v>
      </c>
      <c r="C40" s="41">
        <f>-C39*0.04</f>
        <v>-290.21120000000002</v>
      </c>
      <c r="D40" s="41">
        <f>-D39*0.04</f>
        <v>-246.6</v>
      </c>
      <c r="E40" s="41">
        <f t="shared" ref="E40" si="17">-E39*0.04</f>
        <v>-243.86400000000003</v>
      </c>
      <c r="G40" s="41">
        <f>-G39*0.04</f>
        <v>-653.18400000000008</v>
      </c>
      <c r="H40" s="41">
        <f>-H39*0.04</f>
        <v>-738.2016000000001</v>
      </c>
      <c r="I40" s="41">
        <f>-I39*0.04</f>
        <v>-681.15600000000006</v>
      </c>
      <c r="J40" s="41">
        <f t="shared" ref="J40" si="18">-J39*0.04</f>
        <v>-619.20000000000005</v>
      </c>
    </row>
    <row r="41" spans="1:10" s="18" customFormat="1" ht="15" x14ac:dyDescent="0.3">
      <c r="A41" s="18" t="s">
        <v>31</v>
      </c>
      <c r="B41" s="40">
        <f>SUM(B39:B40)</f>
        <v>6250.1760000000004</v>
      </c>
      <c r="C41" s="40">
        <f>SUM(C39:C40)</f>
        <v>6965.0688</v>
      </c>
      <c r="D41" s="40">
        <f>SUM(D39:D40)</f>
        <v>5918.4</v>
      </c>
      <c r="E41" s="40">
        <f t="shared" ref="E41" si="19">SUM(E39:E40)</f>
        <v>5852.7360000000008</v>
      </c>
      <c r="G41" s="40">
        <f>SUM(G39:G40)</f>
        <v>15676.416000000001</v>
      </c>
      <c r="H41" s="40">
        <f>SUM(H39:H40)</f>
        <v>17716.838400000001</v>
      </c>
      <c r="I41" s="40">
        <f>SUM(I39:I40)</f>
        <v>16347.744000000001</v>
      </c>
      <c r="J41" s="40">
        <f t="shared" ref="J41" si="20">SUM(J39:J40)</f>
        <v>14860.8</v>
      </c>
    </row>
    <row r="42" spans="1:10" s="18" customFormat="1" ht="15.6" x14ac:dyDescent="0.3">
      <c r="A42" s="21" t="s">
        <v>142</v>
      </c>
      <c r="B42" s="22">
        <f>B36-B41</f>
        <v>5922.7546097162258</v>
      </c>
      <c r="C42" s="22">
        <f>C36-C41</f>
        <v>5099.9856167017069</v>
      </c>
      <c r="D42" s="22">
        <f>D36-D41</f>
        <v>9428.7385963048873</v>
      </c>
      <c r="E42" s="22">
        <f t="shared" ref="E42" si="21">E36-E41</f>
        <v>6538.1298772238424</v>
      </c>
      <c r="G42" s="22">
        <v>0</v>
      </c>
      <c r="H42" s="22">
        <v>0</v>
      </c>
      <c r="I42" s="22">
        <v>0</v>
      </c>
      <c r="J42" s="22">
        <v>0</v>
      </c>
    </row>
    <row r="43" spans="1:10" s="18" customFormat="1" ht="15" x14ac:dyDescent="0.3"/>
    <row r="44" spans="1:10" ht="15.6" x14ac:dyDescent="0.3">
      <c r="A44" s="21" t="s">
        <v>39</v>
      </c>
      <c r="B44" s="22">
        <v>13002</v>
      </c>
      <c r="C44" s="22">
        <v>13420.515757847534</v>
      </c>
      <c r="D44" s="43" t="s">
        <v>32</v>
      </c>
      <c r="E44" s="43" t="s">
        <v>32</v>
      </c>
      <c r="G44" s="22">
        <v>13002</v>
      </c>
      <c r="H44" s="22">
        <v>13420.515757847534</v>
      </c>
      <c r="I44" s="43" t="s">
        <v>32</v>
      </c>
      <c r="J44" s="43" t="s">
        <v>32</v>
      </c>
    </row>
    <row r="45" spans="1:10" s="29" customFormat="1" ht="15" x14ac:dyDescent="0.3">
      <c r="A45" s="18" t="s">
        <v>27</v>
      </c>
      <c r="B45" s="40">
        <f>B29</f>
        <v>6099</v>
      </c>
      <c r="C45" s="40">
        <f>C29</f>
        <v>5847</v>
      </c>
      <c r="D45" s="28"/>
      <c r="E45" s="40"/>
      <c r="G45" s="40">
        <f>G29</f>
        <v>17796</v>
      </c>
      <c r="H45" s="40">
        <f>H29</f>
        <v>16473</v>
      </c>
      <c r="I45" s="28"/>
      <c r="J45" s="40"/>
    </row>
    <row r="46" spans="1:10" s="29" customFormat="1" ht="17.55" x14ac:dyDescent="0.45">
      <c r="A46" s="35" t="s">
        <v>26</v>
      </c>
      <c r="B46" s="41">
        <f t="shared" ref="B46:B49" si="22">B30</f>
        <v>-609.9</v>
      </c>
      <c r="C46" s="41">
        <f t="shared" ref="C46:C49" si="23">C30</f>
        <v>-643.16999999999996</v>
      </c>
      <c r="D46" s="45"/>
      <c r="E46" s="41"/>
      <c r="G46" s="41">
        <f t="shared" ref="G46:H49" si="24">G30</f>
        <v>-1779.6000000000001</v>
      </c>
      <c r="H46" s="41">
        <f t="shared" si="24"/>
        <v>-1812.03</v>
      </c>
      <c r="I46" s="45"/>
      <c r="J46" s="41"/>
    </row>
    <row r="47" spans="1:10" s="29" customFormat="1" ht="15" x14ac:dyDescent="0.3">
      <c r="A47" s="18" t="s">
        <v>28</v>
      </c>
      <c r="B47" s="40">
        <f t="shared" si="22"/>
        <v>5489.1</v>
      </c>
      <c r="C47" s="40">
        <f t="shared" si="23"/>
        <v>5203.83</v>
      </c>
      <c r="D47" s="28"/>
      <c r="E47" s="40"/>
      <c r="G47" s="40">
        <f t="shared" si="24"/>
        <v>16016.4</v>
      </c>
      <c r="H47" s="40">
        <f t="shared" si="24"/>
        <v>14660.97</v>
      </c>
      <c r="I47" s="28"/>
      <c r="J47" s="40"/>
    </row>
    <row r="48" spans="1:10" ht="17.55" x14ac:dyDescent="0.45">
      <c r="A48" s="35" t="s">
        <v>29</v>
      </c>
      <c r="B48" s="41">
        <f t="shared" si="22"/>
        <v>-219.56400000000002</v>
      </c>
      <c r="C48" s="41">
        <f t="shared" si="23"/>
        <v>-208.1532</v>
      </c>
      <c r="D48" s="26"/>
      <c r="E48" s="41"/>
      <c r="G48" s="41">
        <f t="shared" si="24"/>
        <v>-640.65599999999995</v>
      </c>
      <c r="H48" s="41">
        <f t="shared" si="24"/>
        <v>-586.43880000000001</v>
      </c>
      <c r="I48" s="26"/>
      <c r="J48" s="41"/>
    </row>
    <row r="49" spans="1:10" s="29" customFormat="1" ht="15" x14ac:dyDescent="0.3">
      <c r="A49" s="18" t="s">
        <v>30</v>
      </c>
      <c r="B49" s="40">
        <f t="shared" si="22"/>
        <v>5269.5360000000001</v>
      </c>
      <c r="C49" s="40">
        <f t="shared" si="23"/>
        <v>4995.6768000000002</v>
      </c>
      <c r="D49" s="28"/>
      <c r="E49" s="40"/>
      <c r="G49" s="40">
        <f t="shared" si="24"/>
        <v>15375.743999999999</v>
      </c>
      <c r="H49" s="40">
        <f t="shared" si="24"/>
        <v>14074.531199999999</v>
      </c>
      <c r="I49" s="28"/>
      <c r="J49" s="40"/>
    </row>
    <row r="50" spans="1:10" s="29" customFormat="1" ht="15.6" x14ac:dyDescent="0.3">
      <c r="A50" s="21" t="s">
        <v>143</v>
      </c>
      <c r="B50" s="22">
        <f t="shared" ref="B50" si="25">B44-B49</f>
        <v>7732.4639999999999</v>
      </c>
      <c r="C50" s="22">
        <f>C44-C49</f>
        <v>8424.8389578475326</v>
      </c>
      <c r="D50" s="21"/>
      <c r="E50" s="21"/>
      <c r="G50" s="22">
        <v>0</v>
      </c>
      <c r="H50" s="22">
        <v>0</v>
      </c>
      <c r="I50" s="21"/>
      <c r="J50" s="21"/>
    </row>
    <row r="51" spans="1:10" s="29" customFormat="1" ht="15" x14ac:dyDescent="0.3">
      <c r="A51" s="28"/>
      <c r="C51" s="28"/>
      <c r="D51" s="28"/>
      <c r="E51" s="28"/>
      <c r="H51" s="28"/>
      <c r="I51" s="28"/>
      <c r="J51" s="28"/>
    </row>
    <row r="52" spans="1:10" ht="15.6" x14ac:dyDescent="0.3">
      <c r="A52" s="21" t="s">
        <v>40</v>
      </c>
      <c r="B52" s="43" t="s">
        <v>32</v>
      </c>
      <c r="C52" s="43" t="s">
        <v>32</v>
      </c>
      <c r="D52" s="43" t="s">
        <v>32</v>
      </c>
      <c r="E52" s="43" t="s">
        <v>32</v>
      </c>
      <c r="G52" s="43" t="s">
        <v>32</v>
      </c>
      <c r="H52" s="43" t="s">
        <v>32</v>
      </c>
      <c r="I52" s="43" t="s">
        <v>32</v>
      </c>
      <c r="J52" s="43" t="s">
        <v>32</v>
      </c>
    </row>
    <row r="53" spans="1:10" s="29" customFormat="1" ht="15" x14ac:dyDescent="0.3">
      <c r="A53" s="18" t="s">
        <v>27</v>
      </c>
      <c r="B53" s="40"/>
      <c r="C53" s="40"/>
      <c r="D53" s="40"/>
      <c r="E53" s="28"/>
      <c r="G53" s="40"/>
      <c r="H53" s="40"/>
      <c r="I53" s="40"/>
      <c r="J53" s="28"/>
    </row>
    <row r="54" spans="1:10" s="29" customFormat="1" ht="17.55" x14ac:dyDescent="0.45">
      <c r="A54" s="35" t="s">
        <v>26</v>
      </c>
      <c r="B54" s="41"/>
      <c r="C54" s="41"/>
      <c r="D54" s="40"/>
      <c r="E54" s="45"/>
      <c r="G54" s="41"/>
      <c r="H54" s="41"/>
      <c r="I54" s="40"/>
      <c r="J54" s="45"/>
    </row>
    <row r="55" spans="1:10" ht="15" x14ac:dyDescent="0.3">
      <c r="A55" s="18" t="s">
        <v>28</v>
      </c>
      <c r="B55" s="40"/>
      <c r="C55" s="40"/>
      <c r="D55" s="40"/>
      <c r="E55" s="28"/>
      <c r="G55" s="40"/>
      <c r="H55" s="40"/>
      <c r="I55" s="40"/>
      <c r="J55" s="28"/>
    </row>
    <row r="56" spans="1:10" ht="17.55" x14ac:dyDescent="0.45">
      <c r="A56" s="35" t="s">
        <v>29</v>
      </c>
      <c r="B56" s="41"/>
      <c r="C56" s="41"/>
      <c r="D56" s="40"/>
      <c r="E56" s="26"/>
      <c r="G56" s="41"/>
      <c r="H56" s="41"/>
      <c r="I56" s="40"/>
      <c r="J56" s="26"/>
    </row>
    <row r="57" spans="1:10" ht="15" x14ac:dyDescent="0.3">
      <c r="A57" s="18" t="s">
        <v>30</v>
      </c>
      <c r="B57" s="40"/>
      <c r="C57" s="40"/>
      <c r="D57" s="40"/>
      <c r="E57" s="28"/>
      <c r="G57" s="40"/>
      <c r="H57" s="40"/>
      <c r="I57" s="40"/>
      <c r="J57" s="28"/>
    </row>
    <row r="58" spans="1:10" ht="15.6" x14ac:dyDescent="0.3">
      <c r="A58" s="21" t="s">
        <v>144</v>
      </c>
      <c r="B58" s="21"/>
      <c r="C58" s="21"/>
      <c r="D58" s="21"/>
      <c r="E58" s="21"/>
      <c r="G58" s="21"/>
      <c r="H58" s="21"/>
      <c r="I58" s="21"/>
      <c r="J58" s="21"/>
    </row>
    <row r="59" spans="1:10" x14ac:dyDescent="0.3">
      <c r="A59" s="28"/>
      <c r="C59" s="28"/>
      <c r="G59" s="18"/>
      <c r="H59" s="28"/>
      <c r="I59" s="18"/>
      <c r="J59" s="18"/>
    </row>
    <row r="60" spans="1:10" ht="15.6" x14ac:dyDescent="0.3">
      <c r="A60" s="21" t="s">
        <v>41</v>
      </c>
      <c r="B60" s="22">
        <f>319759/87</f>
        <v>3675.3908045977009</v>
      </c>
      <c r="C60" s="22">
        <v>2722.4973789256196</v>
      </c>
      <c r="D60" s="43" t="s">
        <v>32</v>
      </c>
      <c r="E60" s="43" t="s">
        <v>32</v>
      </c>
      <c r="G60" s="22">
        <f>319759/87</f>
        <v>3675.3908045977009</v>
      </c>
      <c r="H60" s="22">
        <v>2722.4973789256196</v>
      </c>
      <c r="I60" s="43" t="s">
        <v>32</v>
      </c>
      <c r="J60" s="43" t="s">
        <v>32</v>
      </c>
    </row>
    <row r="61" spans="1:10" x14ac:dyDescent="0.3">
      <c r="A61" s="18" t="s">
        <v>27</v>
      </c>
      <c r="B61" s="40">
        <v>0</v>
      </c>
      <c r="C61" s="40">
        <f>C29</f>
        <v>5847</v>
      </c>
      <c r="G61" s="40">
        <v>0</v>
      </c>
      <c r="H61" s="40">
        <f>H29</f>
        <v>16473</v>
      </c>
      <c r="I61" s="18"/>
      <c r="J61" s="18"/>
    </row>
    <row r="62" spans="1:10" ht="16.2" x14ac:dyDescent="0.45">
      <c r="A62" s="35" t="s">
        <v>26</v>
      </c>
      <c r="B62" s="41"/>
      <c r="C62" s="41">
        <f t="shared" ref="C62:C65" si="26">C30</f>
        <v>-643.16999999999996</v>
      </c>
      <c r="G62" s="41"/>
      <c r="H62" s="41">
        <f t="shared" ref="H62:H65" si="27">H30</f>
        <v>-1812.03</v>
      </c>
      <c r="I62" s="18"/>
      <c r="J62" s="18"/>
    </row>
    <row r="63" spans="1:10" x14ac:dyDescent="0.3">
      <c r="A63" s="18" t="s">
        <v>28</v>
      </c>
      <c r="B63" s="40">
        <v>0</v>
      </c>
      <c r="C63" s="40">
        <f t="shared" si="26"/>
        <v>5203.83</v>
      </c>
      <c r="G63" s="40">
        <v>0</v>
      </c>
      <c r="H63" s="40">
        <f t="shared" si="27"/>
        <v>14660.97</v>
      </c>
      <c r="I63" s="18"/>
      <c r="J63" s="18"/>
    </row>
    <row r="64" spans="1:10" ht="16.2" x14ac:dyDescent="0.45">
      <c r="A64" s="35" t="s">
        <v>29</v>
      </c>
      <c r="B64" s="41"/>
      <c r="C64" s="41">
        <f t="shared" si="26"/>
        <v>-208.1532</v>
      </c>
      <c r="G64" s="41"/>
      <c r="H64" s="41">
        <f t="shared" si="27"/>
        <v>-586.43880000000001</v>
      </c>
      <c r="I64" s="18"/>
      <c r="J64" s="18"/>
    </row>
    <row r="65" spans="1:10" x14ac:dyDescent="0.3">
      <c r="A65" s="18" t="s">
        <v>30</v>
      </c>
      <c r="B65" s="40">
        <v>0</v>
      </c>
      <c r="C65" s="40">
        <f t="shared" si="26"/>
        <v>4995.6768000000002</v>
      </c>
      <c r="G65" s="40">
        <v>0</v>
      </c>
      <c r="H65" s="40">
        <f t="shared" si="27"/>
        <v>14074.531199999999</v>
      </c>
      <c r="I65" s="18"/>
      <c r="J65" s="18"/>
    </row>
    <row r="66" spans="1:10" ht="15.6" x14ac:dyDescent="0.3">
      <c r="A66" s="21" t="s">
        <v>145</v>
      </c>
      <c r="B66" s="44">
        <v>0</v>
      </c>
      <c r="C66" s="44">
        <v>0</v>
      </c>
      <c r="D66" s="21"/>
      <c r="E66" s="21"/>
      <c r="G66" s="44">
        <v>0</v>
      </c>
      <c r="H66" s="44">
        <v>0</v>
      </c>
      <c r="I66" s="21"/>
      <c r="J66" s="21"/>
    </row>
    <row r="68" spans="1:10" ht="28.5" customHeight="1" x14ac:dyDescent="0.3">
      <c r="A68" s="209" t="s">
        <v>137</v>
      </c>
      <c r="B68" s="209"/>
      <c r="C68" s="209"/>
      <c r="D68" s="209"/>
      <c r="E68" s="209"/>
      <c r="F68" s="188"/>
      <c r="G68" s="188"/>
      <c r="H68" s="188"/>
    </row>
  </sheetData>
  <mergeCells count="1">
    <mergeCell ref="A68:E68"/>
  </mergeCells>
  <pageMargins left="0.7" right="0.7" top="0.75" bottom="0.75" header="0.3" footer="0.3"/>
  <pageSetup scale="85"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topLeftCell="A25" workbookViewId="0">
      <selection activeCell="I44" sqref="I44"/>
    </sheetView>
  </sheetViews>
  <sheetFormatPr defaultColWidth="9.109375" defaultRowHeight="14.4" x14ac:dyDescent="0.3"/>
  <cols>
    <col min="1" max="1" width="3.5546875" style="50" customWidth="1"/>
    <col min="2" max="2" width="22.44140625" style="50" customWidth="1"/>
    <col min="3" max="3" width="15.33203125" style="50" customWidth="1"/>
    <col min="4" max="4" width="14.33203125" style="50" customWidth="1"/>
    <col min="5" max="5" width="15.5546875" style="50" customWidth="1"/>
    <col min="6" max="6" width="17.44140625" style="50" customWidth="1"/>
    <col min="7" max="7" width="19.44140625" style="50" customWidth="1"/>
    <col min="8" max="8" width="9.109375" style="50"/>
    <col min="9" max="9" width="15.33203125" style="50" bestFit="1" customWidth="1"/>
    <col min="10" max="16384" width="9.109375" style="50"/>
  </cols>
  <sheetData>
    <row r="1" spans="1:9" ht="22.5" customHeight="1" x14ac:dyDescent="0.35">
      <c r="A1" s="211" t="s">
        <v>42</v>
      </c>
      <c r="B1" s="211"/>
      <c r="C1" s="211"/>
      <c r="D1" s="211"/>
      <c r="E1" s="211"/>
      <c r="F1" s="211"/>
      <c r="I1" s="51"/>
    </row>
    <row r="2" spans="1:9" ht="15" x14ac:dyDescent="0.3">
      <c r="I2" s="51"/>
    </row>
    <row r="3" spans="1:9" ht="15.6" thickBot="1" x14ac:dyDescent="0.35">
      <c r="A3" s="52" t="s">
        <v>43</v>
      </c>
      <c r="B3" s="52"/>
      <c r="C3" s="52"/>
      <c r="D3" s="52"/>
      <c r="E3" s="52"/>
      <c r="F3" s="52"/>
      <c r="G3" s="51"/>
      <c r="I3" s="51"/>
    </row>
    <row r="4" spans="1:9" ht="15" x14ac:dyDescent="0.3">
      <c r="C4" s="53"/>
      <c r="D4" s="53"/>
      <c r="E4" s="53"/>
      <c r="F4" s="53"/>
      <c r="G4" s="51"/>
      <c r="I4" s="51"/>
    </row>
    <row r="5" spans="1:9" ht="15.6" thickBot="1" x14ac:dyDescent="0.35">
      <c r="C5" s="54" t="s">
        <v>44</v>
      </c>
      <c r="D5" s="54" t="s">
        <v>45</v>
      </c>
      <c r="E5" s="55" t="s">
        <v>46</v>
      </c>
      <c r="F5" s="55" t="s">
        <v>47</v>
      </c>
      <c r="G5" s="56"/>
      <c r="I5" s="57"/>
    </row>
    <row r="6" spans="1:9" ht="15" x14ac:dyDescent="0.3">
      <c r="A6" s="58" t="s">
        <v>48</v>
      </c>
      <c r="B6" s="50" t="s">
        <v>49</v>
      </c>
      <c r="C6" s="59">
        <v>34408121.920000002</v>
      </c>
      <c r="D6" s="59">
        <v>7473000</v>
      </c>
      <c r="E6" s="59"/>
      <c r="F6" s="59">
        <f>SUM(C6:E6)</f>
        <v>41881121.920000002</v>
      </c>
      <c r="G6" s="51"/>
      <c r="I6" s="60"/>
    </row>
    <row r="7" spans="1:9" ht="15" x14ac:dyDescent="0.3">
      <c r="A7" s="58" t="s">
        <v>50</v>
      </c>
      <c r="B7" s="50" t="s">
        <v>51</v>
      </c>
      <c r="C7" s="59">
        <v>27359147.789999999</v>
      </c>
      <c r="D7" s="59"/>
      <c r="E7" s="59"/>
      <c r="F7" s="59">
        <f t="shared" ref="F7:F13" si="0">SUM(C7:E7)</f>
        <v>27359147.789999999</v>
      </c>
      <c r="G7" s="61"/>
      <c r="I7" s="60"/>
    </row>
    <row r="8" spans="1:9" ht="15" x14ac:dyDescent="0.3">
      <c r="A8" s="58" t="s">
        <v>52</v>
      </c>
      <c r="B8" s="50" t="s">
        <v>53</v>
      </c>
      <c r="C8" s="59">
        <v>18511263.210000001</v>
      </c>
      <c r="D8" s="59"/>
      <c r="E8" s="59"/>
      <c r="F8" s="59">
        <f t="shared" si="0"/>
        <v>18511263.210000001</v>
      </c>
      <c r="G8" s="62"/>
      <c r="I8" s="60"/>
    </row>
    <row r="9" spans="1:9" ht="15" x14ac:dyDescent="0.3">
      <c r="A9" s="58" t="s">
        <v>54</v>
      </c>
      <c r="B9" s="50" t="s">
        <v>55</v>
      </c>
      <c r="C9" s="59">
        <v>9252134.0099999998</v>
      </c>
      <c r="D9" s="59">
        <v>1736000</v>
      </c>
      <c r="E9" s="59"/>
      <c r="F9" s="59">
        <f t="shared" si="0"/>
        <v>10988134.01</v>
      </c>
      <c r="I9" s="60"/>
    </row>
    <row r="10" spans="1:9" ht="15" x14ac:dyDescent="0.3">
      <c r="A10" s="58" t="s">
        <v>56</v>
      </c>
      <c r="B10" s="50" t="s">
        <v>57</v>
      </c>
      <c r="C10" s="59">
        <v>4647918.57</v>
      </c>
      <c r="D10" s="59">
        <v>744000</v>
      </c>
      <c r="E10" s="59"/>
      <c r="F10" s="59">
        <f t="shared" si="0"/>
        <v>5391918.5700000003</v>
      </c>
      <c r="I10" s="60"/>
    </row>
    <row r="11" spans="1:9" ht="15" x14ac:dyDescent="0.3">
      <c r="A11" s="58" t="s">
        <v>58</v>
      </c>
      <c r="B11" s="50" t="s">
        <v>59</v>
      </c>
      <c r="C11" s="59">
        <v>6275926.6200000001</v>
      </c>
      <c r="D11" s="59">
        <v>959000</v>
      </c>
      <c r="E11" s="59"/>
      <c r="F11" s="59">
        <f t="shared" si="0"/>
        <v>7234926.6200000001</v>
      </c>
      <c r="I11" s="60"/>
    </row>
    <row r="12" spans="1:9" ht="15" x14ac:dyDescent="0.3">
      <c r="A12" s="58" t="s">
        <v>60</v>
      </c>
      <c r="B12" s="50" t="s">
        <v>61</v>
      </c>
      <c r="C12" s="59">
        <v>12819398.5</v>
      </c>
      <c r="D12" s="59">
        <v>3009000</v>
      </c>
      <c r="E12" s="59"/>
      <c r="F12" s="59">
        <f t="shared" si="0"/>
        <v>15828398.5</v>
      </c>
      <c r="I12" s="60"/>
    </row>
    <row r="13" spans="1:9" ht="15" x14ac:dyDescent="0.3">
      <c r="A13" s="58" t="s">
        <v>62</v>
      </c>
      <c r="B13" s="50" t="s">
        <v>63</v>
      </c>
      <c r="C13" s="59">
        <v>21149966.23</v>
      </c>
      <c r="D13" s="59">
        <v>2612000</v>
      </c>
      <c r="E13" s="59">
        <v>5057000</v>
      </c>
      <c r="F13" s="59">
        <f t="shared" si="0"/>
        <v>28818966.23</v>
      </c>
      <c r="I13" s="60"/>
    </row>
    <row r="14" spans="1:9" ht="15.6" thickBot="1" x14ac:dyDescent="0.35">
      <c r="C14" s="63">
        <f>SUM(C6:C13)</f>
        <v>134423876.84999999</v>
      </c>
      <c r="D14" s="63">
        <f t="shared" ref="D14:F14" si="1">SUM(D6:D13)</f>
        <v>16533000</v>
      </c>
      <c r="E14" s="63">
        <f t="shared" si="1"/>
        <v>5057000</v>
      </c>
      <c r="F14" s="63">
        <f t="shared" si="1"/>
        <v>156013876.85000002</v>
      </c>
      <c r="I14" s="60"/>
    </row>
    <row r="15" spans="1:9" ht="15" x14ac:dyDescent="0.3">
      <c r="C15" s="64"/>
      <c r="D15" s="64"/>
      <c r="E15" s="64"/>
      <c r="F15" s="64"/>
      <c r="I15" s="60"/>
    </row>
    <row r="16" spans="1:9" ht="15.6" thickBot="1" x14ac:dyDescent="0.35">
      <c r="A16" s="52" t="s">
        <v>64</v>
      </c>
      <c r="B16" s="52"/>
      <c r="C16" s="65"/>
      <c r="D16" s="65"/>
      <c r="E16" s="65"/>
      <c r="F16" s="64"/>
      <c r="I16" s="60"/>
    </row>
    <row r="17" spans="1:9" ht="15" x14ac:dyDescent="0.3">
      <c r="A17" s="58" t="s">
        <v>50</v>
      </c>
      <c r="B17" s="50" t="s">
        <v>51</v>
      </c>
      <c r="C17" s="64"/>
      <c r="D17" s="64"/>
      <c r="E17" s="64"/>
      <c r="F17" s="64">
        <f>-F7</f>
        <v>-27359147.789999999</v>
      </c>
      <c r="I17" s="60"/>
    </row>
    <row r="18" spans="1:9" ht="15" x14ac:dyDescent="0.3">
      <c r="A18" s="58" t="s">
        <v>52</v>
      </c>
      <c r="B18" s="50" t="s">
        <v>53</v>
      </c>
      <c r="C18" s="64"/>
      <c r="D18" s="64"/>
      <c r="E18" s="64"/>
      <c r="F18" s="64">
        <f>-F8</f>
        <v>-18511263.210000001</v>
      </c>
      <c r="I18" s="60"/>
    </row>
    <row r="19" spans="1:9" ht="15" x14ac:dyDescent="0.3">
      <c r="A19" s="58"/>
      <c r="C19" s="64"/>
      <c r="D19" s="64"/>
      <c r="E19" s="64"/>
      <c r="F19" s="64"/>
      <c r="I19" s="60"/>
    </row>
    <row r="20" spans="1:9" ht="15.6" thickBot="1" x14ac:dyDescent="0.35">
      <c r="A20" s="52" t="s">
        <v>65</v>
      </c>
      <c r="B20" s="52"/>
      <c r="C20" s="65"/>
      <c r="D20" s="65"/>
      <c r="E20" s="65"/>
      <c r="F20" s="59"/>
      <c r="I20" s="60"/>
    </row>
    <row r="21" spans="1:9" ht="15" x14ac:dyDescent="0.3">
      <c r="A21" s="66"/>
      <c r="B21" s="50" t="s">
        <v>66</v>
      </c>
      <c r="C21" s="64"/>
      <c r="D21" s="64"/>
      <c r="E21" s="64"/>
      <c r="F21" s="64">
        <v>209361648.06999999</v>
      </c>
      <c r="I21" s="60"/>
    </row>
    <row r="22" spans="1:9" ht="15" x14ac:dyDescent="0.3">
      <c r="A22" s="66"/>
      <c r="B22" s="50" t="s">
        <v>67</v>
      </c>
      <c r="C22" s="64"/>
      <c r="D22" s="64"/>
      <c r="E22" s="64"/>
      <c r="F22" s="64">
        <v>1919521.24</v>
      </c>
      <c r="I22" s="60"/>
    </row>
    <row r="23" spans="1:9" ht="15" x14ac:dyDescent="0.3">
      <c r="C23" s="59"/>
      <c r="D23" s="59"/>
      <c r="E23" s="59"/>
      <c r="F23" s="59"/>
    </row>
    <row r="24" spans="1:9" s="67" customFormat="1" ht="15.6" thickBot="1" x14ac:dyDescent="0.35">
      <c r="A24" s="67" t="s">
        <v>68</v>
      </c>
      <c r="C24" s="68"/>
      <c r="D24" s="68"/>
      <c r="E24" s="68"/>
      <c r="F24" s="69">
        <f>SUM(F14:F22)</f>
        <v>321424635.16000003</v>
      </c>
      <c r="I24" s="70"/>
    </row>
    <row r="25" spans="1:9" ht="15.6" thickTop="1" x14ac:dyDescent="0.3">
      <c r="C25" s="64"/>
      <c r="D25" s="64"/>
      <c r="E25" s="64"/>
      <c r="F25" s="64"/>
      <c r="I25" s="60"/>
    </row>
    <row r="26" spans="1:9" ht="15" x14ac:dyDescent="0.3">
      <c r="C26" s="64"/>
      <c r="D26" s="64"/>
      <c r="E26" s="64"/>
      <c r="F26" s="64"/>
      <c r="I26" s="60"/>
    </row>
    <row r="27" spans="1:9" ht="15" x14ac:dyDescent="0.3">
      <c r="B27" s="71" t="s">
        <v>69</v>
      </c>
      <c r="C27" s="64"/>
      <c r="D27" s="64"/>
      <c r="E27" s="64"/>
      <c r="F27" s="64">
        <v>172351948</v>
      </c>
      <c r="I27" s="60"/>
    </row>
    <row r="28" spans="1:9" ht="15" x14ac:dyDescent="0.3">
      <c r="B28" s="71" t="s">
        <v>70</v>
      </c>
      <c r="C28" s="64"/>
      <c r="D28" s="64"/>
      <c r="E28" s="64"/>
      <c r="F28" s="64">
        <f>F24-F27</f>
        <v>149072687.16000003</v>
      </c>
      <c r="I28" s="60"/>
    </row>
    <row r="29" spans="1:9" ht="15.6" thickBot="1" x14ac:dyDescent="0.35">
      <c r="C29" s="64"/>
      <c r="D29" s="64"/>
      <c r="E29" s="64"/>
      <c r="F29" s="69">
        <f>SUM(F27:F28)</f>
        <v>321424635.16000003</v>
      </c>
      <c r="I29" s="60"/>
    </row>
    <row r="30" spans="1:9" ht="15.6" thickTop="1" x14ac:dyDescent="0.3">
      <c r="C30" s="60"/>
      <c r="D30" s="60"/>
      <c r="E30" s="60"/>
      <c r="F30" s="60"/>
      <c r="I30" s="60"/>
    </row>
    <row r="31" spans="1:9" ht="15" x14ac:dyDescent="0.3">
      <c r="A31" s="72" t="s">
        <v>71</v>
      </c>
      <c r="B31" s="73"/>
      <c r="C31" s="73"/>
      <c r="D31" s="72"/>
      <c r="E31" s="72"/>
      <c r="F31" s="73">
        <v>25283.633333333331</v>
      </c>
      <c r="G31" s="62"/>
      <c r="H31" s="60"/>
    </row>
    <row r="32" spans="1:9" ht="15" x14ac:dyDescent="0.3">
      <c r="A32" s="74"/>
      <c r="B32" s="74"/>
      <c r="C32" s="74"/>
      <c r="D32" s="74"/>
      <c r="E32" s="74"/>
      <c r="F32" s="74"/>
      <c r="H32" s="60"/>
    </row>
    <row r="33" spans="1:9" ht="15.6" x14ac:dyDescent="0.3">
      <c r="A33" s="75" t="s">
        <v>72</v>
      </c>
      <c r="B33" s="76"/>
      <c r="C33" s="76"/>
      <c r="D33" s="76"/>
      <c r="E33" s="76"/>
      <c r="F33" s="77">
        <f>+F29/F31+1</f>
        <v>12713.754963751257</v>
      </c>
      <c r="H33" s="60"/>
    </row>
    <row r="34" spans="1:9" ht="15" x14ac:dyDescent="0.3">
      <c r="C34" s="60"/>
      <c r="D34" s="60"/>
      <c r="E34" s="60"/>
      <c r="F34" s="208" t="s">
        <v>183</v>
      </c>
      <c r="G34" s="50" t="s">
        <v>184</v>
      </c>
      <c r="H34" s="60"/>
    </row>
    <row r="35" spans="1:9" ht="16.95" x14ac:dyDescent="0.3">
      <c r="A35" s="78" t="s">
        <v>73</v>
      </c>
      <c r="B35" s="79"/>
      <c r="C35" s="80"/>
      <c r="D35" s="80"/>
      <c r="E35" s="80"/>
      <c r="F35" s="77">
        <v>10640.830478748599</v>
      </c>
      <c r="G35" s="77">
        <v>10640.830478748599</v>
      </c>
      <c r="H35" s="60"/>
    </row>
    <row r="36" spans="1:9" ht="15" x14ac:dyDescent="0.3">
      <c r="A36" s="81" t="s">
        <v>74</v>
      </c>
      <c r="B36" s="82"/>
      <c r="C36" s="83"/>
      <c r="D36" s="83"/>
      <c r="E36" s="83"/>
      <c r="F36" s="84">
        <v>8910</v>
      </c>
      <c r="G36" s="84">
        <v>21164</v>
      </c>
      <c r="H36" s="60"/>
    </row>
    <row r="37" spans="1:9" ht="16.95" x14ac:dyDescent="0.45">
      <c r="A37" s="85" t="s">
        <v>75</v>
      </c>
      <c r="B37" s="86"/>
      <c r="C37" s="87"/>
      <c r="D37" s="87"/>
      <c r="E37" s="87"/>
      <c r="F37" s="88">
        <v>-1871.1</v>
      </c>
      <c r="G37" s="88">
        <v>-1871.1</v>
      </c>
      <c r="H37" s="60"/>
    </row>
    <row r="38" spans="1:9" ht="15" x14ac:dyDescent="0.3">
      <c r="A38" s="89" t="s">
        <v>28</v>
      </c>
      <c r="B38" s="82"/>
      <c r="C38" s="83"/>
      <c r="D38" s="83"/>
      <c r="E38" s="83"/>
      <c r="F38" s="84">
        <v>7038.9</v>
      </c>
      <c r="G38" s="84">
        <f>SUM(G36:G37)</f>
        <v>19292.900000000001</v>
      </c>
      <c r="H38" s="60"/>
    </row>
    <row r="39" spans="1:9" ht="16.95" x14ac:dyDescent="0.45">
      <c r="A39" s="89" t="s">
        <v>29</v>
      </c>
      <c r="B39" s="82"/>
      <c r="C39" s="83"/>
      <c r="D39" s="83"/>
      <c r="E39" s="83"/>
      <c r="F39" s="90">
        <v>-356.40000000000003</v>
      </c>
      <c r="G39" s="90">
        <f>-G38*0.04</f>
        <v>-771.71600000000012</v>
      </c>
      <c r="H39" s="60"/>
    </row>
    <row r="40" spans="1:9" ht="15" x14ac:dyDescent="0.3">
      <c r="A40" s="91" t="s">
        <v>30</v>
      </c>
      <c r="C40" s="60"/>
      <c r="D40" s="60"/>
      <c r="E40" s="60"/>
      <c r="F40" s="84">
        <v>6682.5</v>
      </c>
      <c r="G40" s="84">
        <f>SUM(G38:G39)</f>
        <v>18521.184000000001</v>
      </c>
      <c r="H40" s="60"/>
    </row>
    <row r="41" spans="1:9" ht="15" x14ac:dyDescent="0.3">
      <c r="A41" s="78" t="s">
        <v>20</v>
      </c>
      <c r="B41" s="79"/>
      <c r="C41" s="80"/>
      <c r="D41" s="80"/>
      <c r="E41" s="80"/>
      <c r="F41" s="77">
        <v>3958.3304787485722</v>
      </c>
      <c r="G41" s="77">
        <v>0</v>
      </c>
      <c r="H41" s="60"/>
    </row>
    <row r="42" spans="1:9" s="82" customFormat="1" ht="15" x14ac:dyDescent="0.3">
      <c r="A42" s="92"/>
      <c r="C42" s="83"/>
      <c r="D42" s="83"/>
      <c r="E42" s="83"/>
      <c r="F42" s="93"/>
      <c r="G42" s="93"/>
      <c r="H42" s="83"/>
    </row>
    <row r="43" spans="1:9" ht="15.6" x14ac:dyDescent="0.3">
      <c r="A43" s="78" t="s">
        <v>76</v>
      </c>
      <c r="B43" s="79"/>
      <c r="C43" s="80"/>
      <c r="D43" s="80"/>
      <c r="E43" s="80"/>
      <c r="F43" s="77">
        <v>20322.47263271462</v>
      </c>
      <c r="G43" s="77">
        <v>20322.47263271462</v>
      </c>
      <c r="H43" s="60"/>
    </row>
    <row r="44" spans="1:9" s="82" customFormat="1" ht="15" x14ac:dyDescent="0.3">
      <c r="A44" s="81" t="s">
        <v>77</v>
      </c>
      <c r="C44" s="83"/>
      <c r="D44" s="83"/>
      <c r="E44" s="83"/>
      <c r="F44" s="84">
        <v>9387</v>
      </c>
      <c r="G44" s="84">
        <v>23342</v>
      </c>
      <c r="I44" s="83"/>
    </row>
    <row r="45" spans="1:9" s="82" customFormat="1" ht="16.95" x14ac:dyDescent="0.45">
      <c r="A45" s="89" t="s">
        <v>75</v>
      </c>
      <c r="C45" s="83"/>
      <c r="D45" s="83"/>
      <c r="E45" s="83"/>
      <c r="F45" s="90">
        <v>-1971.27</v>
      </c>
      <c r="G45" s="90">
        <v>-1971.27</v>
      </c>
      <c r="I45" s="83"/>
    </row>
    <row r="46" spans="1:9" s="82" customFormat="1" ht="15" x14ac:dyDescent="0.3">
      <c r="A46" s="89" t="s">
        <v>33</v>
      </c>
      <c r="C46" s="83"/>
      <c r="D46" s="83"/>
      <c r="E46" s="83"/>
      <c r="F46" s="84">
        <v>7415.73</v>
      </c>
      <c r="G46" s="84">
        <f>SUM(G44:G45)</f>
        <v>21370.73</v>
      </c>
      <c r="I46" s="83"/>
    </row>
    <row r="47" spans="1:9" s="82" customFormat="1" ht="16.95" x14ac:dyDescent="0.45">
      <c r="A47" s="89" t="s">
        <v>29</v>
      </c>
      <c r="C47" s="83"/>
      <c r="D47" s="83"/>
      <c r="E47" s="83"/>
      <c r="F47" s="90">
        <v>-375.48</v>
      </c>
      <c r="G47" s="90">
        <f>-G46*0.04</f>
        <v>-854.82920000000001</v>
      </c>
      <c r="I47" s="83"/>
    </row>
    <row r="48" spans="1:9" s="82" customFormat="1" ht="15" x14ac:dyDescent="0.3">
      <c r="A48" s="89" t="s">
        <v>31</v>
      </c>
      <c r="C48" s="83"/>
      <c r="D48" s="83"/>
      <c r="E48" s="83"/>
      <c r="F48" s="84">
        <v>7040.25</v>
      </c>
      <c r="G48" s="84">
        <f>SUM(G46:G47)</f>
        <v>20515.900799999999</v>
      </c>
      <c r="I48" s="83"/>
    </row>
    <row r="49" spans="1:9" ht="15" x14ac:dyDescent="0.3">
      <c r="A49" s="78" t="s">
        <v>21</v>
      </c>
      <c r="B49" s="79"/>
      <c r="C49" s="80"/>
      <c r="D49" s="80"/>
      <c r="E49" s="80"/>
      <c r="F49" s="77">
        <v>13282.22263271462</v>
      </c>
      <c r="G49" s="77">
        <v>0</v>
      </c>
      <c r="I49" s="60"/>
    </row>
    <row r="50" spans="1:9" s="82" customFormat="1" ht="15" x14ac:dyDescent="0.3">
      <c r="A50" s="94"/>
      <c r="C50" s="83"/>
      <c r="D50" s="83"/>
      <c r="E50" s="83"/>
      <c r="F50" s="95"/>
      <c r="I50" s="83"/>
    </row>
    <row r="51" spans="1:9" ht="15" x14ac:dyDescent="0.3">
      <c r="A51" s="66" t="s">
        <v>78</v>
      </c>
      <c r="C51" s="60"/>
      <c r="D51" s="60"/>
      <c r="E51" s="60"/>
      <c r="F51" s="60"/>
      <c r="I51" s="60"/>
    </row>
    <row r="52" spans="1:9" s="97" customFormat="1" ht="34.049999999999997" customHeight="1" x14ac:dyDescent="0.3">
      <c r="A52" s="96" t="s">
        <v>79</v>
      </c>
    </row>
    <row r="53" spans="1:9" s="97" customFormat="1" ht="34.049999999999997" customHeight="1" x14ac:dyDescent="0.3">
      <c r="A53" s="212" t="s">
        <v>80</v>
      </c>
      <c r="B53" s="212"/>
      <c r="C53" s="212"/>
      <c r="D53" s="212"/>
      <c r="E53" s="212"/>
      <c r="F53" s="212"/>
    </row>
    <row r="54" spans="1:9" ht="30" customHeight="1" x14ac:dyDescent="0.3">
      <c r="A54" s="96" t="s">
        <v>81</v>
      </c>
    </row>
    <row r="57" spans="1:9" ht="110.25" customHeight="1" x14ac:dyDescent="0.3">
      <c r="B57" s="209" t="s">
        <v>92</v>
      </c>
      <c r="C57" s="209"/>
      <c r="D57" s="209"/>
      <c r="E57" s="209"/>
      <c r="F57" s="209"/>
    </row>
    <row r="61" spans="1:9" customFormat="1" ht="18" thickBot="1" x14ac:dyDescent="0.4">
      <c r="A61" s="50"/>
      <c r="B61" s="98" t="s">
        <v>82</v>
      </c>
      <c r="C61" s="98"/>
    </row>
    <row r="62" spans="1:9" customFormat="1" ht="15" thickTop="1" x14ac:dyDescent="0.3">
      <c r="A62" s="50"/>
      <c r="B62" s="99" t="s">
        <v>83</v>
      </c>
    </row>
    <row r="63" spans="1:9" customFormat="1" x14ac:dyDescent="0.3">
      <c r="A63" s="50"/>
    </row>
    <row r="64" spans="1:9" customFormat="1" x14ac:dyDescent="0.3">
      <c r="A64" s="50"/>
    </row>
    <row r="65" spans="1:8" customFormat="1" x14ac:dyDescent="0.3">
      <c r="A65" s="50"/>
      <c r="C65" s="100" t="s">
        <v>84</v>
      </c>
      <c r="D65" s="100" t="s">
        <v>85</v>
      </c>
    </row>
    <row r="66" spans="1:8" s="104" customFormat="1" ht="80.25" customHeight="1" x14ac:dyDescent="0.3">
      <c r="A66" s="101"/>
      <c r="B66" s="102" t="s">
        <v>86</v>
      </c>
      <c r="C66" s="103">
        <v>17999.400000000001</v>
      </c>
      <c r="D66" s="103">
        <v>19424</v>
      </c>
      <c r="E66" s="209" t="s">
        <v>91</v>
      </c>
      <c r="F66" s="209"/>
      <c r="G66" s="209"/>
      <c r="H66" s="209"/>
    </row>
    <row r="67" spans="1:8" s="104" customFormat="1" ht="27" x14ac:dyDescent="0.3">
      <c r="A67" s="101"/>
      <c r="B67" s="105" t="s">
        <v>87</v>
      </c>
      <c r="C67" s="106">
        <v>6683</v>
      </c>
      <c r="D67" s="106">
        <v>6683</v>
      </c>
    </row>
    <row r="68" spans="1:8" s="104" customFormat="1" ht="39" x14ac:dyDescent="0.3">
      <c r="A68" s="101"/>
      <c r="B68" s="102" t="s">
        <v>22</v>
      </c>
      <c r="C68" s="103">
        <f>C66-C67</f>
        <v>11316.400000000001</v>
      </c>
      <c r="D68" s="103">
        <f>D66-D67</f>
        <v>12741</v>
      </c>
    </row>
    <row r="69" spans="1:8" s="104" customFormat="1" x14ac:dyDescent="0.3">
      <c r="A69" s="101"/>
      <c r="B69" s="105"/>
      <c r="C69" s="106"/>
    </row>
    <row r="70" spans="1:8" s="104" customFormat="1" ht="36.6" x14ac:dyDescent="0.3">
      <c r="A70" s="101"/>
      <c r="B70" s="102" t="s">
        <v>88</v>
      </c>
      <c r="C70" s="103">
        <v>20057.009999999998</v>
      </c>
      <c r="D70" s="103">
        <v>21198</v>
      </c>
    </row>
    <row r="71" spans="1:8" s="104" customFormat="1" ht="27" x14ac:dyDescent="0.3">
      <c r="A71" s="101"/>
      <c r="B71" s="105" t="s">
        <v>87</v>
      </c>
      <c r="C71" s="106">
        <v>6683</v>
      </c>
      <c r="D71" s="106">
        <v>6683</v>
      </c>
    </row>
    <row r="72" spans="1:8" s="104" customFormat="1" ht="39" x14ac:dyDescent="0.3">
      <c r="A72" s="101"/>
      <c r="B72" s="102" t="s">
        <v>23</v>
      </c>
      <c r="C72" s="103">
        <f>C70-C71</f>
        <v>13374.009999999998</v>
      </c>
      <c r="D72" s="103">
        <f>D70-D71</f>
        <v>14515</v>
      </c>
    </row>
    <row r="74" spans="1:8" x14ac:dyDescent="0.3">
      <c r="B74" t="s">
        <v>89</v>
      </c>
    </row>
    <row r="75" spans="1:8" ht="105.9" customHeight="1" x14ac:dyDescent="0.3">
      <c r="B75" s="209" t="s">
        <v>90</v>
      </c>
      <c r="C75" s="209"/>
      <c r="D75" s="209"/>
    </row>
  </sheetData>
  <mergeCells count="5">
    <mergeCell ref="A1:F1"/>
    <mergeCell ref="A53:F53"/>
    <mergeCell ref="B75:D75"/>
    <mergeCell ref="E66:H66"/>
    <mergeCell ref="B57:F5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
  <sheetViews>
    <sheetView topLeftCell="A48" workbookViewId="0">
      <selection activeCell="C68" sqref="C68"/>
    </sheetView>
  </sheetViews>
  <sheetFormatPr defaultRowHeight="18" customHeight="1" x14ac:dyDescent="0.3"/>
  <cols>
    <col min="1" max="1" width="29.33203125" customWidth="1"/>
    <col min="2" max="4" width="15.6640625" customWidth="1"/>
    <col min="5" max="5" width="3.33203125" customWidth="1"/>
    <col min="6" max="6" width="18.109375" customWidth="1"/>
  </cols>
  <sheetData>
    <row r="1" spans="1:6" ht="15.6" x14ac:dyDescent="0.3">
      <c r="A1" s="213" t="s">
        <v>146</v>
      </c>
      <c r="B1" s="214"/>
      <c r="C1" s="214"/>
      <c r="D1" s="214"/>
    </row>
    <row r="2" spans="1:6" s="104" customFormat="1" ht="45.15" x14ac:dyDescent="0.3">
      <c r="A2" s="189" t="s">
        <v>147</v>
      </c>
      <c r="B2" s="190" t="s">
        <v>148</v>
      </c>
      <c r="C2" s="190" t="s">
        <v>149</v>
      </c>
      <c r="D2" s="190" t="s">
        <v>150</v>
      </c>
    </row>
    <row r="3" spans="1:6" ht="15" x14ac:dyDescent="0.3">
      <c r="A3" s="191" t="s">
        <v>49</v>
      </c>
      <c r="B3" s="192">
        <v>427349149</v>
      </c>
      <c r="C3" s="193">
        <v>1</v>
      </c>
      <c r="D3" s="194">
        <f>+C3*B3</f>
        <v>427349149</v>
      </c>
      <c r="F3" t="s">
        <v>151</v>
      </c>
    </row>
    <row r="4" spans="1:6" ht="15" x14ac:dyDescent="0.3">
      <c r="A4" s="191" t="s">
        <v>51</v>
      </c>
      <c r="B4" s="192">
        <v>7445550</v>
      </c>
      <c r="C4" s="193">
        <v>0</v>
      </c>
      <c r="D4" s="194">
        <f t="shared" ref="D4:D10" si="0">+C4*B4</f>
        <v>0</v>
      </c>
      <c r="F4" t="s">
        <v>152</v>
      </c>
    </row>
    <row r="5" spans="1:6" ht="15" x14ac:dyDescent="0.3">
      <c r="A5" s="191" t="s">
        <v>53</v>
      </c>
      <c r="B5" s="192">
        <v>3946027</v>
      </c>
      <c r="C5" s="193">
        <v>0</v>
      </c>
      <c r="D5" s="194">
        <f t="shared" si="0"/>
        <v>0</v>
      </c>
      <c r="F5" t="s">
        <v>152</v>
      </c>
    </row>
    <row r="6" spans="1:6" ht="15" x14ac:dyDescent="0.3">
      <c r="A6" s="191" t="s">
        <v>55</v>
      </c>
      <c r="B6" s="192">
        <v>74451710</v>
      </c>
      <c r="C6" s="193">
        <v>0.47411650090513935</v>
      </c>
      <c r="D6" s="194">
        <f t="shared" si="0"/>
        <v>35298784.231604174</v>
      </c>
      <c r="F6" t="s">
        <v>153</v>
      </c>
    </row>
    <row r="7" spans="1:6" ht="15" x14ac:dyDescent="0.3">
      <c r="A7" s="191" t="s">
        <v>57</v>
      </c>
      <c r="B7" s="192">
        <v>39419795</v>
      </c>
      <c r="C7" s="193">
        <v>0.72777370869800084</v>
      </c>
      <c r="D7" s="194">
        <f t="shared" si="0"/>
        <v>28688690.40326491</v>
      </c>
      <c r="F7" t="s">
        <v>154</v>
      </c>
    </row>
    <row r="8" spans="1:6" ht="15" x14ac:dyDescent="0.3">
      <c r="A8" s="191" t="s">
        <v>59</v>
      </c>
      <c r="B8" s="192">
        <v>28153477</v>
      </c>
      <c r="C8" s="193">
        <v>1</v>
      </c>
      <c r="D8" s="194">
        <f t="shared" si="0"/>
        <v>28153477</v>
      </c>
      <c r="F8" t="s">
        <v>151</v>
      </c>
    </row>
    <row r="9" spans="1:6" ht="15" x14ac:dyDescent="0.3">
      <c r="A9" s="191" t="s">
        <v>155</v>
      </c>
      <c r="B9" s="192">
        <v>12444860</v>
      </c>
      <c r="C9" s="193">
        <v>1</v>
      </c>
      <c r="D9" s="194">
        <f t="shared" si="0"/>
        <v>12444860</v>
      </c>
      <c r="F9" t="s">
        <v>156</v>
      </c>
    </row>
    <row r="10" spans="1:6" ht="15" x14ac:dyDescent="0.3">
      <c r="A10" s="191" t="s">
        <v>61</v>
      </c>
      <c r="B10" s="192">
        <v>145239773</v>
      </c>
      <c r="C10" s="193">
        <v>0.46622367790865443</v>
      </c>
      <c r="D10" s="194">
        <f t="shared" si="0"/>
        <v>67714221.14667809</v>
      </c>
      <c r="F10" t="s">
        <v>157</v>
      </c>
    </row>
    <row r="11" spans="1:6" ht="15" x14ac:dyDescent="0.3">
      <c r="A11" s="191" t="s">
        <v>63</v>
      </c>
      <c r="B11" s="192">
        <v>186407664</v>
      </c>
      <c r="C11" s="193">
        <v>0.50203508305618161</v>
      </c>
      <c r="D11" s="194">
        <f>+B11*C11</f>
        <v>93583187.078548789</v>
      </c>
      <c r="F11" t="s">
        <v>158</v>
      </c>
    </row>
    <row r="12" spans="1:6" ht="15" x14ac:dyDescent="0.3">
      <c r="D12" s="195"/>
    </row>
    <row r="13" spans="1:6" ht="15" x14ac:dyDescent="0.3">
      <c r="A13" s="196" t="s">
        <v>159</v>
      </c>
      <c r="B13" s="197" t="s">
        <v>160</v>
      </c>
      <c r="C13" s="197" t="s">
        <v>161</v>
      </c>
      <c r="D13" s="197" t="s">
        <v>162</v>
      </c>
    </row>
    <row r="14" spans="1:6" ht="15" x14ac:dyDescent="0.3">
      <c r="A14" s="191" t="s">
        <v>49</v>
      </c>
      <c r="B14" s="198">
        <f>+[2]TotalDist!B28</f>
        <v>0.21890697792883343</v>
      </c>
      <c r="C14" s="198">
        <f>+[2]TotalDist!C28</f>
        <v>0.36323814312207725</v>
      </c>
      <c r="D14" s="198">
        <f>+[2]TotalDist!D28</f>
        <v>0.41785487894908935</v>
      </c>
      <c r="F14" t="s">
        <v>163</v>
      </c>
    </row>
    <row r="15" spans="1:6" ht="15" x14ac:dyDescent="0.3">
      <c r="A15" s="191" t="s">
        <v>51</v>
      </c>
      <c r="B15" s="198">
        <v>0</v>
      </c>
      <c r="C15" s="198">
        <v>0</v>
      </c>
      <c r="D15" s="198">
        <v>0</v>
      </c>
      <c r="F15" t="s">
        <v>152</v>
      </c>
    </row>
    <row r="16" spans="1:6" ht="15" x14ac:dyDescent="0.3">
      <c r="A16" s="191" t="s">
        <v>53</v>
      </c>
      <c r="B16" s="198">
        <v>0</v>
      </c>
      <c r="C16" s="198">
        <v>0</v>
      </c>
      <c r="D16" s="198">
        <v>0</v>
      </c>
      <c r="F16" t="s">
        <v>152</v>
      </c>
    </row>
    <row r="17" spans="1:6" ht="15" x14ac:dyDescent="0.3">
      <c r="A17" s="191" t="s">
        <v>55</v>
      </c>
      <c r="B17" s="198">
        <f>+[2]TotalDist!K28</f>
        <v>0.36153129955294755</v>
      </c>
      <c r="C17" s="198">
        <f>+[2]TotalDist!L28</f>
        <v>0.30779523507130563</v>
      </c>
      <c r="D17" s="198">
        <f>+[2]TotalDist!M28</f>
        <v>0.33067346537574688</v>
      </c>
      <c r="F17" t="s">
        <v>164</v>
      </c>
    </row>
    <row r="18" spans="1:6" ht="15" x14ac:dyDescent="0.3">
      <c r="A18" s="191" t="s">
        <v>57</v>
      </c>
      <c r="B18" s="198">
        <f>+[2]TotalDist!N28</f>
        <v>0.29787523018144141</v>
      </c>
      <c r="C18" s="198">
        <f>+[2]TotalDist!O28</f>
        <v>0.32328768800483187</v>
      </c>
      <c r="D18" s="198">
        <f>+[2]TotalDist!P28</f>
        <v>0.37883708181372666</v>
      </c>
      <c r="F18" t="s">
        <v>165</v>
      </c>
    </row>
    <row r="19" spans="1:6" ht="15" x14ac:dyDescent="0.3">
      <c r="A19" s="191" t="s">
        <v>59</v>
      </c>
      <c r="B19" s="198">
        <f>+[2]TotalDist!H28</f>
        <v>0.40225193222999539</v>
      </c>
      <c r="C19" s="198">
        <f>+[2]TotalDist!I28</f>
        <v>0.40436606139917092</v>
      </c>
      <c r="D19" s="198">
        <f>+[2]TotalDist!J28</f>
        <v>0.19338200637083372</v>
      </c>
      <c r="F19" t="s">
        <v>165</v>
      </c>
    </row>
    <row r="20" spans="1:6" ht="15" x14ac:dyDescent="0.3">
      <c r="A20" s="191" t="s">
        <v>155</v>
      </c>
      <c r="B20" s="198">
        <v>0</v>
      </c>
      <c r="C20" s="198">
        <v>0</v>
      </c>
      <c r="D20" s="198">
        <v>1</v>
      </c>
      <c r="F20" t="s">
        <v>166</v>
      </c>
    </row>
    <row r="21" spans="1:6" ht="15" x14ac:dyDescent="0.3">
      <c r="A21" s="191" t="s">
        <v>61</v>
      </c>
      <c r="B21" s="198">
        <f>+[2]TotalDist!T28</f>
        <v>0.25350221079781354</v>
      </c>
      <c r="C21" s="198">
        <f>+[2]TotalDist!U28</f>
        <v>0.3814039850244505</v>
      </c>
      <c r="D21" s="198">
        <f>+[2]TotalDist!V28</f>
        <v>0.36509380417773596</v>
      </c>
      <c r="F21" t="s">
        <v>164</v>
      </c>
    </row>
    <row r="22" spans="1:6" ht="15" x14ac:dyDescent="0.3">
      <c r="A22" s="191" t="s">
        <v>63</v>
      </c>
      <c r="B22" s="198">
        <f>+[2]TotalDist!E28</f>
        <v>0.34020416012545174</v>
      </c>
      <c r="C22" s="198">
        <f>+[2]TotalDist!F28</f>
        <v>0.39804298269466287</v>
      </c>
      <c r="D22" s="198">
        <f>+[2]TotalDist!G28</f>
        <v>0.26175285717988533</v>
      </c>
      <c r="F22" t="s">
        <v>167</v>
      </c>
    </row>
    <row r="24" spans="1:6" s="199" customFormat="1" ht="15" x14ac:dyDescent="0.3">
      <c r="A24" s="196" t="s">
        <v>168</v>
      </c>
      <c r="B24" s="197" t="s">
        <v>169</v>
      </c>
      <c r="C24" s="197" t="s">
        <v>170</v>
      </c>
      <c r="D24" s="197" t="s">
        <v>171</v>
      </c>
    </row>
    <row r="25" spans="1:6" ht="15" x14ac:dyDescent="0.3">
      <c r="A25" s="191" t="s">
        <v>49</v>
      </c>
      <c r="B25" s="200">
        <f t="shared" ref="B25:D33" si="1">+B14*$D3</f>
        <v>93549710.728048742</v>
      </c>
      <c r="C25" s="200">
        <f t="shared" si="1"/>
        <v>155229511.34755993</v>
      </c>
      <c r="D25" s="200">
        <f t="shared" si="1"/>
        <v>178569926.92439136</v>
      </c>
    </row>
    <row r="26" spans="1:6" ht="15" x14ac:dyDescent="0.3">
      <c r="A26" s="191" t="s">
        <v>51</v>
      </c>
      <c r="B26" s="200">
        <f t="shared" si="1"/>
        <v>0</v>
      </c>
      <c r="C26" s="200">
        <f t="shared" si="1"/>
        <v>0</v>
      </c>
      <c r="D26" s="200">
        <f t="shared" si="1"/>
        <v>0</v>
      </c>
    </row>
    <row r="27" spans="1:6" ht="15" x14ac:dyDescent="0.3">
      <c r="A27" s="191" t="s">
        <v>53</v>
      </c>
      <c r="B27" s="200">
        <f t="shared" si="1"/>
        <v>0</v>
      </c>
      <c r="C27" s="200">
        <f t="shared" si="1"/>
        <v>0</v>
      </c>
      <c r="D27" s="200">
        <f t="shared" si="1"/>
        <v>0</v>
      </c>
    </row>
    <row r="28" spans="1:6" ht="15" x14ac:dyDescent="0.3">
      <c r="A28" s="191" t="s">
        <v>55</v>
      </c>
      <c r="B28" s="200">
        <f t="shared" si="1"/>
        <v>12761615.335890951</v>
      </c>
      <c r="C28" s="200">
        <f t="shared" si="1"/>
        <v>10864797.590297904</v>
      </c>
      <c r="D28" s="200">
        <f t="shared" si="1"/>
        <v>11672371.305415323</v>
      </c>
    </row>
    <row r="29" spans="1:6" ht="15" x14ac:dyDescent="0.3">
      <c r="A29" s="191" t="s">
        <v>57</v>
      </c>
      <c r="B29" s="200">
        <f t="shared" si="1"/>
        <v>8545650.2574766446</v>
      </c>
      <c r="C29" s="200">
        <f t="shared" si="1"/>
        <v>9274700.3923579212</v>
      </c>
      <c r="D29" s="200">
        <f t="shared" si="1"/>
        <v>10868339.753430344</v>
      </c>
    </row>
    <row r="30" spans="1:6" ht="15" x14ac:dyDescent="0.3">
      <c r="A30" s="191" t="s">
        <v>59</v>
      </c>
      <c r="B30" s="200">
        <f t="shared" si="1"/>
        <v>11324790.522242734</v>
      </c>
      <c r="C30" s="200">
        <f t="shared" si="1"/>
        <v>11384310.609182145</v>
      </c>
      <c r="D30" s="200">
        <f t="shared" si="1"/>
        <v>5444375.8685751203</v>
      </c>
    </row>
    <row r="31" spans="1:6" ht="15" x14ac:dyDescent="0.3">
      <c r="A31" s="191" t="s">
        <v>155</v>
      </c>
      <c r="B31" s="200">
        <f t="shared" si="1"/>
        <v>0</v>
      </c>
      <c r="C31" s="200">
        <f t="shared" si="1"/>
        <v>0</v>
      </c>
      <c r="D31" s="200">
        <f t="shared" si="1"/>
        <v>12444860</v>
      </c>
    </row>
    <row r="32" spans="1:6" ht="15" x14ac:dyDescent="0.3">
      <c r="A32" s="191" t="s">
        <v>61</v>
      </c>
      <c r="B32" s="200">
        <f t="shared" si="1"/>
        <v>17165704.763134953</v>
      </c>
      <c r="C32" s="200">
        <f t="shared" si="1"/>
        <v>25826473.788169939</v>
      </c>
      <c r="D32" s="200">
        <f t="shared" si="1"/>
        <v>24722042.595373198</v>
      </c>
    </row>
    <row r="33" spans="1:7" ht="18" customHeight="1" x14ac:dyDescent="0.3">
      <c r="A33" s="191" t="s">
        <v>63</v>
      </c>
      <c r="B33" s="200">
        <f t="shared" si="1"/>
        <v>31837389.561920717</v>
      </c>
      <c r="C33" s="200">
        <f t="shared" si="1"/>
        <v>37250130.91481819</v>
      </c>
      <c r="D33" s="200">
        <f t="shared" si="1"/>
        <v>24495666.60180987</v>
      </c>
    </row>
    <row r="34" spans="1:7" ht="18" customHeight="1" x14ac:dyDescent="0.3">
      <c r="A34" s="201" t="s">
        <v>105</v>
      </c>
      <c r="B34" s="202">
        <f>SUM(B25:B33)</f>
        <v>175184861.16871476</v>
      </c>
      <c r="C34" s="202">
        <f>SUM(C25:C33)</f>
        <v>249829924.64238605</v>
      </c>
      <c r="D34" s="202">
        <f>SUM(D25:D33)</f>
        <v>268217583.0489952</v>
      </c>
      <c r="E34" s="203"/>
    </row>
    <row r="36" spans="1:7" ht="18" customHeight="1" x14ac:dyDescent="0.3">
      <c r="A36" s="204" t="s">
        <v>172</v>
      </c>
      <c r="B36" s="200">
        <v>16121.15555507347</v>
      </c>
      <c r="C36" s="200">
        <v>15161.75555558865</v>
      </c>
      <c r="D36" s="200">
        <v>11445.86666654353</v>
      </c>
      <c r="E36" s="203"/>
      <c r="F36" s="20">
        <f>((B36*B38)+(C36*C38))/(B36+C36)</f>
        <v>13586.16480121134</v>
      </c>
      <c r="G36" t="s">
        <v>178</v>
      </c>
    </row>
    <row r="37" spans="1:7" ht="18" customHeight="1" x14ac:dyDescent="0.3">
      <c r="F37">
        <v>10223</v>
      </c>
      <c r="G37" t="s">
        <v>179</v>
      </c>
    </row>
    <row r="38" spans="1:7" ht="18" customHeight="1" x14ac:dyDescent="0.3">
      <c r="A38" s="196" t="s">
        <v>173</v>
      </c>
      <c r="B38" s="205">
        <f>+B34/B36</f>
        <v>10866.768239425774</v>
      </c>
      <c r="C38" s="205">
        <f>+C34/C36</f>
        <v>16477.638339862187</v>
      </c>
      <c r="D38" s="205">
        <f>+D34/D36</f>
        <v>23433.575705804778</v>
      </c>
      <c r="F38">
        <v>27707</v>
      </c>
      <c r="G38" t="s">
        <v>180</v>
      </c>
    </row>
    <row r="39" spans="1:7" ht="18" customHeight="1" x14ac:dyDescent="0.3">
      <c r="F39">
        <v>12547</v>
      </c>
      <c r="G39" t="s">
        <v>181</v>
      </c>
    </row>
    <row r="40" spans="1:7" ht="18" customHeight="1" x14ac:dyDescent="0.3">
      <c r="A40" s="215" t="s">
        <v>174</v>
      </c>
      <c r="B40" s="215"/>
      <c r="C40" s="215"/>
      <c r="D40" s="215"/>
      <c r="F40">
        <v>25417</v>
      </c>
      <c r="G40" t="s">
        <v>182</v>
      </c>
    </row>
    <row r="41" spans="1:7" ht="18" customHeight="1" x14ac:dyDescent="0.3">
      <c r="A41" s="201" t="s">
        <v>106</v>
      </c>
      <c r="B41" s="200">
        <v>12194427.475787027</v>
      </c>
      <c r="C41" s="200">
        <v>30179422.988747973</v>
      </c>
      <c r="D41" s="200">
        <v>25713987.401025511</v>
      </c>
    </row>
    <row r="42" spans="1:7" ht="18" customHeight="1" x14ac:dyDescent="0.3">
      <c r="A42" s="201" t="s">
        <v>175</v>
      </c>
      <c r="B42" s="206">
        <v>740.46666667047998</v>
      </c>
      <c r="C42" s="206">
        <v>1303.62222222783</v>
      </c>
      <c r="D42" s="206">
        <v>1003.1333333333299</v>
      </c>
    </row>
    <row r="43" spans="1:7" ht="18" customHeight="1" x14ac:dyDescent="0.3">
      <c r="A43" s="201" t="s">
        <v>173</v>
      </c>
      <c r="B43" s="207">
        <f>+B41/B42</f>
        <v>16468.570463299126</v>
      </c>
      <c r="C43" s="207">
        <f t="shared" ref="C43:D43" si="2">+C41/C42</f>
        <v>23150.436126482055</v>
      </c>
      <c r="D43" s="207">
        <f t="shared" si="2"/>
        <v>25633.668572830731</v>
      </c>
    </row>
    <row r="45" spans="1:7" ht="18" customHeight="1" x14ac:dyDescent="0.3">
      <c r="A45" s="215" t="s">
        <v>176</v>
      </c>
      <c r="B45" s="215"/>
      <c r="C45" s="215"/>
      <c r="D45" s="215"/>
    </row>
    <row r="46" spans="1:7" ht="18" customHeight="1" x14ac:dyDescent="0.3">
      <c r="A46" s="201" t="s">
        <v>106</v>
      </c>
      <c r="B46" s="200">
        <v>793581.74185932544</v>
      </c>
      <c r="C46" s="200">
        <v>5911824.0996600045</v>
      </c>
      <c r="D46" s="200">
        <v>5259938.4572348939</v>
      </c>
    </row>
    <row r="47" spans="1:7" ht="18" customHeight="1" x14ac:dyDescent="0.3">
      <c r="A47" s="201" t="s">
        <v>175</v>
      </c>
      <c r="B47" s="206">
        <v>26.622222222080001</v>
      </c>
      <c r="C47" s="206">
        <v>192.42222222187002</v>
      </c>
      <c r="D47" s="206">
        <v>131.83333333332999</v>
      </c>
    </row>
    <row r="48" spans="1:7" ht="18" customHeight="1" x14ac:dyDescent="0.3">
      <c r="A48" s="201" t="s">
        <v>173</v>
      </c>
      <c r="B48" s="207">
        <f>+B46/B47</f>
        <v>29808.996981519551</v>
      </c>
      <c r="C48" s="207">
        <f t="shared" ref="C48:D48" si="3">+C46/C47</f>
        <v>30723.187953018496</v>
      </c>
      <c r="D48" s="207">
        <f t="shared" si="3"/>
        <v>39898.395377256842</v>
      </c>
    </row>
    <row r="50" spans="1:4" ht="15" x14ac:dyDescent="0.3">
      <c r="A50" s="216" t="s">
        <v>177</v>
      </c>
      <c r="B50" s="216"/>
      <c r="C50" s="216"/>
      <c r="D50" s="216"/>
    </row>
    <row r="51" spans="1:4" ht="18" customHeight="1" x14ac:dyDescent="0.3">
      <c r="B51" t="s">
        <v>183</v>
      </c>
      <c r="C51" t="s">
        <v>184</v>
      </c>
    </row>
    <row r="52" spans="1:4" ht="18" customHeight="1" x14ac:dyDescent="0.3">
      <c r="A52" s="21" t="s">
        <v>37</v>
      </c>
      <c r="B52" s="22">
        <f>F36</f>
        <v>13586.16480121134</v>
      </c>
      <c r="C52" s="22">
        <f>F36</f>
        <v>13586.16480121134</v>
      </c>
    </row>
    <row r="53" spans="1:4" ht="18" customHeight="1" x14ac:dyDescent="0.3">
      <c r="A53" s="18" t="s">
        <v>27</v>
      </c>
      <c r="B53" s="40">
        <f>F37</f>
        <v>10223</v>
      </c>
      <c r="C53" s="40">
        <f>F38</f>
        <v>27707</v>
      </c>
    </row>
    <row r="54" spans="1:4" ht="18" customHeight="1" x14ac:dyDescent="0.45">
      <c r="A54" s="35" t="s">
        <v>26</v>
      </c>
      <c r="B54" s="41">
        <f>-B53*0.1</f>
        <v>-1022.3000000000001</v>
      </c>
      <c r="C54" s="41">
        <f>-C53*0.1</f>
        <v>-2770.7000000000003</v>
      </c>
    </row>
    <row r="55" spans="1:4" ht="18" customHeight="1" x14ac:dyDescent="0.3">
      <c r="A55" s="18" t="s">
        <v>28</v>
      </c>
      <c r="B55" s="40">
        <f>SUM(B53:B54)</f>
        <v>9200.7000000000007</v>
      </c>
      <c r="C55" s="40">
        <f>SUM(C53:C54)</f>
        <v>24936.3</v>
      </c>
    </row>
    <row r="56" spans="1:4" ht="18" customHeight="1" x14ac:dyDescent="0.45">
      <c r="A56" s="35" t="s">
        <v>29</v>
      </c>
      <c r="B56" s="41">
        <f>-B55*0.04</f>
        <v>-368.02800000000002</v>
      </c>
      <c r="C56" s="41">
        <f>-C55*0.04</f>
        <v>-997.452</v>
      </c>
    </row>
    <row r="57" spans="1:4" ht="18" customHeight="1" x14ac:dyDescent="0.3">
      <c r="A57" s="18" t="s">
        <v>30</v>
      </c>
      <c r="B57" s="40">
        <f>SUM(B55:B56)</f>
        <v>8832.6720000000005</v>
      </c>
      <c r="C57" s="40">
        <f>SUM(C55:C56)</f>
        <v>23938.847999999998</v>
      </c>
    </row>
    <row r="58" spans="1:4" ht="18" customHeight="1" x14ac:dyDescent="0.3">
      <c r="A58" s="21" t="s">
        <v>141</v>
      </c>
      <c r="B58" s="22">
        <f>B52-B57</f>
        <v>4753.4928012113396</v>
      </c>
      <c r="C58" s="22">
        <v>0</v>
      </c>
    </row>
    <row r="59" spans="1:4" ht="18" customHeight="1" x14ac:dyDescent="0.3">
      <c r="A59" s="18"/>
      <c r="B59" s="40"/>
    </row>
    <row r="60" spans="1:4" ht="18" customHeight="1" x14ac:dyDescent="0.3">
      <c r="A60" s="26"/>
      <c r="B60" s="27"/>
    </row>
    <row r="61" spans="1:4" ht="18" customHeight="1" x14ac:dyDescent="0.3">
      <c r="A61" s="21" t="s">
        <v>38</v>
      </c>
      <c r="B61" s="22">
        <f>D38</f>
        <v>23433.575705804778</v>
      </c>
      <c r="C61" s="22">
        <f>D38</f>
        <v>23433.575705804778</v>
      </c>
    </row>
    <row r="62" spans="1:4" ht="18" customHeight="1" x14ac:dyDescent="0.3">
      <c r="A62" s="18" t="s">
        <v>111</v>
      </c>
      <c r="B62" s="40">
        <f>F39</f>
        <v>12547</v>
      </c>
      <c r="C62" s="40">
        <f>F40</f>
        <v>25417</v>
      </c>
    </row>
    <row r="63" spans="1:4" ht="18" customHeight="1" x14ac:dyDescent="0.45">
      <c r="A63" s="35" t="s">
        <v>26</v>
      </c>
      <c r="B63" s="41">
        <f>-B62*0.1</f>
        <v>-1254.7</v>
      </c>
      <c r="C63" s="41">
        <f>-C62*0.1</f>
        <v>-2541.7000000000003</v>
      </c>
    </row>
    <row r="64" spans="1:4" ht="18" customHeight="1" x14ac:dyDescent="0.3">
      <c r="A64" s="18" t="s">
        <v>33</v>
      </c>
      <c r="B64" s="40">
        <f>SUM(B62:B63)</f>
        <v>11292.3</v>
      </c>
      <c r="C64" s="40">
        <f>SUM(C62:C63)</f>
        <v>22875.3</v>
      </c>
    </row>
    <row r="65" spans="1:3" ht="18" customHeight="1" x14ac:dyDescent="0.45">
      <c r="A65" s="35" t="s">
        <v>29</v>
      </c>
      <c r="B65" s="41">
        <f>-B64*0.04</f>
        <v>-451.69200000000001</v>
      </c>
      <c r="C65" s="41">
        <f>-C64*0.04</f>
        <v>-915.01199999999994</v>
      </c>
    </row>
    <row r="66" spans="1:3" ht="18" customHeight="1" x14ac:dyDescent="0.3">
      <c r="A66" s="18" t="s">
        <v>31</v>
      </c>
      <c r="B66" s="40">
        <f>SUM(B64:B65)</f>
        <v>10840.608</v>
      </c>
      <c r="C66" s="40">
        <f>SUM(C64:C65)</f>
        <v>21960.288</v>
      </c>
    </row>
    <row r="67" spans="1:3" ht="18" customHeight="1" x14ac:dyDescent="0.3">
      <c r="A67" s="21" t="s">
        <v>142</v>
      </c>
      <c r="B67" s="22">
        <f>B61-B66</f>
        <v>12592.967705804778</v>
      </c>
      <c r="C67" s="22">
        <v>0</v>
      </c>
    </row>
    <row r="68" spans="1:3" ht="18" customHeight="1" x14ac:dyDescent="0.3">
      <c r="A68" s="18"/>
      <c r="B68" s="40"/>
    </row>
    <row r="69" spans="1:3" ht="18" customHeight="1" x14ac:dyDescent="0.3">
      <c r="A69" s="18"/>
      <c r="B69" s="18"/>
    </row>
    <row r="70" spans="1:3" ht="18" customHeight="1" x14ac:dyDescent="0.3">
      <c r="A70" s="21" t="s">
        <v>39</v>
      </c>
      <c r="B70" s="22">
        <f>C43</f>
        <v>23150.436126482055</v>
      </c>
    </row>
    <row r="71" spans="1:3" ht="18" customHeight="1" x14ac:dyDescent="0.3">
      <c r="A71" s="18" t="s">
        <v>27</v>
      </c>
      <c r="B71" s="40">
        <f>F37</f>
        <v>10223</v>
      </c>
    </row>
    <row r="72" spans="1:3" ht="18" customHeight="1" x14ac:dyDescent="0.45">
      <c r="A72" s="35" t="s">
        <v>26</v>
      </c>
      <c r="B72" s="41">
        <f>-B71*0.1</f>
        <v>-1022.3000000000001</v>
      </c>
    </row>
    <row r="73" spans="1:3" ht="18" customHeight="1" x14ac:dyDescent="0.3">
      <c r="A73" s="18" t="s">
        <v>28</v>
      </c>
      <c r="B73" s="40">
        <f>SUM(B71:B72)</f>
        <v>9200.7000000000007</v>
      </c>
    </row>
    <row r="74" spans="1:3" ht="18" customHeight="1" x14ac:dyDescent="0.45">
      <c r="A74" s="35" t="s">
        <v>29</v>
      </c>
      <c r="B74" s="41">
        <f>-B73*0.04</f>
        <v>-368.02800000000002</v>
      </c>
    </row>
    <row r="75" spans="1:3" ht="18" customHeight="1" x14ac:dyDescent="0.3">
      <c r="A75" s="18" t="s">
        <v>30</v>
      </c>
      <c r="B75" s="40">
        <f>SUM(B73:B74)</f>
        <v>8832.6720000000005</v>
      </c>
    </row>
    <row r="76" spans="1:3" ht="18" customHeight="1" x14ac:dyDescent="0.3">
      <c r="A76" s="21" t="s">
        <v>143</v>
      </c>
      <c r="B76" s="22">
        <f>B70-B75</f>
        <v>14317.764126482054</v>
      </c>
    </row>
    <row r="77" spans="1:3" ht="18" customHeight="1" x14ac:dyDescent="0.3">
      <c r="A77" s="28"/>
      <c r="B77" s="29"/>
    </row>
    <row r="78" spans="1:3" ht="18" customHeight="1" x14ac:dyDescent="0.3">
      <c r="A78" s="21" t="s">
        <v>40</v>
      </c>
      <c r="B78" s="43">
        <f>C48</f>
        <v>30723.187953018496</v>
      </c>
    </row>
    <row r="79" spans="1:3" ht="18" customHeight="1" x14ac:dyDescent="0.3">
      <c r="A79" s="18" t="s">
        <v>27</v>
      </c>
      <c r="B79" s="40">
        <f>F37</f>
        <v>10223</v>
      </c>
    </row>
    <row r="80" spans="1:3" ht="18" customHeight="1" x14ac:dyDescent="0.45">
      <c r="A80" s="35" t="s">
        <v>26</v>
      </c>
      <c r="B80" s="41">
        <f>-B79*0.1</f>
        <v>-1022.3000000000001</v>
      </c>
    </row>
    <row r="81" spans="1:2" ht="18" customHeight="1" x14ac:dyDescent="0.3">
      <c r="A81" s="18" t="s">
        <v>28</v>
      </c>
      <c r="B81" s="40">
        <f>SUM(B79:B80)</f>
        <v>9200.7000000000007</v>
      </c>
    </row>
    <row r="82" spans="1:2" ht="18" customHeight="1" x14ac:dyDescent="0.45">
      <c r="A82" s="35" t="s">
        <v>29</v>
      </c>
      <c r="B82" s="41">
        <f>-B81*0.04</f>
        <v>-368.02800000000002</v>
      </c>
    </row>
    <row r="83" spans="1:2" ht="18" customHeight="1" x14ac:dyDescent="0.3">
      <c r="A83" s="18" t="s">
        <v>30</v>
      </c>
      <c r="B83" s="40">
        <f>SUM(B81:B82)</f>
        <v>8832.6720000000005</v>
      </c>
    </row>
    <row r="84" spans="1:2" ht="18" customHeight="1" x14ac:dyDescent="0.3">
      <c r="A84" s="21" t="s">
        <v>144</v>
      </c>
      <c r="B84" s="22">
        <f>B78-B83</f>
        <v>21890.515953018497</v>
      </c>
    </row>
  </sheetData>
  <mergeCells count="4">
    <mergeCell ref="A1:D1"/>
    <mergeCell ref="A40:D40"/>
    <mergeCell ref="A45:D45"/>
    <mergeCell ref="A50:D5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opLeftCell="A4" workbookViewId="0">
      <selection activeCell="H7" sqref="H7"/>
    </sheetView>
  </sheetViews>
  <sheetFormatPr defaultRowHeight="14.4" x14ac:dyDescent="0.3"/>
  <cols>
    <col min="1" max="1" width="16.44140625" customWidth="1"/>
    <col min="2" max="2" width="12.33203125" customWidth="1"/>
    <col min="3" max="3" width="12" bestFit="1" customWidth="1"/>
    <col min="4" max="4" width="12.44140625" customWidth="1"/>
    <col min="5" max="5" width="13.6640625" customWidth="1"/>
    <col min="6" max="6" width="13.109375" bestFit="1" customWidth="1"/>
    <col min="8" max="8" width="11.88671875" bestFit="1" customWidth="1"/>
  </cols>
  <sheetData>
    <row r="1" spans="1:8" ht="15" x14ac:dyDescent="0.3">
      <c r="A1" s="99" t="s">
        <v>127</v>
      </c>
    </row>
    <row r="2" spans="1:8" ht="15" x14ac:dyDescent="0.3">
      <c r="A2" s="108" t="s">
        <v>128</v>
      </c>
    </row>
    <row r="3" spans="1:8" ht="15" x14ac:dyDescent="0.3">
      <c r="A3" s="145" t="s">
        <v>129</v>
      </c>
    </row>
    <row r="4" spans="1:8" ht="15" x14ac:dyDescent="0.3">
      <c r="A4" s="145"/>
    </row>
    <row r="5" spans="1:8" ht="15" x14ac:dyDescent="0.3">
      <c r="A5" s="99" t="s">
        <v>84</v>
      </c>
    </row>
    <row r="6" spans="1:8" ht="16.350000000000001" x14ac:dyDescent="0.4">
      <c r="A6" s="150"/>
      <c r="B6" s="151" t="s">
        <v>101</v>
      </c>
      <c r="C6" s="151" t="s">
        <v>102</v>
      </c>
      <c r="D6" s="151" t="s">
        <v>103</v>
      </c>
      <c r="E6" s="151" t="s">
        <v>104</v>
      </c>
      <c r="F6" s="152" t="s">
        <v>105</v>
      </c>
      <c r="H6" s="187" t="s">
        <v>134</v>
      </c>
    </row>
    <row r="7" spans="1:8" ht="15" x14ac:dyDescent="0.3">
      <c r="A7" s="153" t="s">
        <v>106</v>
      </c>
      <c r="B7" s="154">
        <v>239378033.06508595</v>
      </c>
      <c r="C7" s="154">
        <v>53449050.142148547</v>
      </c>
      <c r="D7" s="154">
        <v>44854481.888471395</v>
      </c>
      <c r="E7" s="154">
        <v>223926015.95429415</v>
      </c>
      <c r="F7" s="155">
        <v>561607581.04999995</v>
      </c>
      <c r="H7" s="186">
        <f>E7+B7</f>
        <v>463304049.01938009</v>
      </c>
    </row>
    <row r="8" spans="1:8" ht="15" x14ac:dyDescent="0.3">
      <c r="A8" s="156" t="s">
        <v>107</v>
      </c>
      <c r="B8" s="157">
        <v>65540.600000000006</v>
      </c>
      <c r="C8" s="157">
        <v>19733.900000000001</v>
      </c>
      <c r="D8" s="157">
        <v>14764.1</v>
      </c>
      <c r="E8" s="157">
        <v>52339.199999999997</v>
      </c>
      <c r="F8" s="158">
        <v>152377.79999999999</v>
      </c>
      <c r="H8" s="18">
        <f>E8+B8</f>
        <v>117879.8</v>
      </c>
    </row>
    <row r="9" spans="1:8" ht="15" x14ac:dyDescent="0.3">
      <c r="A9" s="159" t="s">
        <v>108</v>
      </c>
      <c r="B9" s="160">
        <v>3652.3625518394083</v>
      </c>
      <c r="C9" s="160">
        <v>2708.4889526220636</v>
      </c>
      <c r="D9" s="160">
        <v>3038.0776267074452</v>
      </c>
      <c r="E9" s="160">
        <v>4278.3614566958258</v>
      </c>
      <c r="F9" s="161">
        <v>3685.6259970284386</v>
      </c>
      <c r="H9" s="20">
        <f>H7/H8</f>
        <v>3930.3090861995024</v>
      </c>
    </row>
    <row r="12" spans="1:8" ht="15" x14ac:dyDescent="0.3">
      <c r="A12" s="99" t="s">
        <v>100</v>
      </c>
    </row>
    <row r="13" spans="1:8" ht="16.350000000000001" x14ac:dyDescent="0.4">
      <c r="A13" s="162"/>
      <c r="B13" s="163" t="s">
        <v>101</v>
      </c>
      <c r="C13" s="163" t="s">
        <v>102</v>
      </c>
      <c r="D13" s="163" t="s">
        <v>103</v>
      </c>
      <c r="E13" s="163" t="s">
        <v>104</v>
      </c>
      <c r="F13" s="164" t="s">
        <v>105</v>
      </c>
    </row>
    <row r="14" spans="1:8" ht="15" x14ac:dyDescent="0.3">
      <c r="A14" s="165" t="s">
        <v>106</v>
      </c>
      <c r="B14" s="166">
        <v>272136416.2713986</v>
      </c>
      <c r="C14" s="166">
        <v>62374090.705435842</v>
      </c>
      <c r="D14" s="166">
        <v>49829636.375419877</v>
      </c>
      <c r="E14" s="166">
        <v>266529666.19774541</v>
      </c>
      <c r="F14" s="167">
        <v>650869809.54999971</v>
      </c>
    </row>
    <row r="15" spans="1:8" ht="15" x14ac:dyDescent="0.3">
      <c r="A15" s="168" t="s">
        <v>107</v>
      </c>
      <c r="B15" s="169">
        <v>68195.3</v>
      </c>
      <c r="C15" s="169">
        <v>21661</v>
      </c>
      <c r="D15" s="169">
        <v>15633.5</v>
      </c>
      <c r="E15" s="169">
        <v>55591.1</v>
      </c>
      <c r="F15" s="170">
        <v>161080.9</v>
      </c>
    </row>
    <row r="16" spans="1:8" ht="15" x14ac:dyDescent="0.3">
      <c r="A16" s="171" t="s">
        <v>108</v>
      </c>
      <c r="B16" s="172">
        <v>3990.5450415409655</v>
      </c>
      <c r="C16" s="172">
        <v>2879.557301391249</v>
      </c>
      <c r="D16" s="172">
        <v>3187.3628026622241</v>
      </c>
      <c r="E16" s="172">
        <v>4794.4664918979015</v>
      </c>
      <c r="F16" s="173">
        <v>4040.6392660458177</v>
      </c>
    </row>
    <row r="19" spans="1:6" ht="15" x14ac:dyDescent="0.3">
      <c r="A19" s="99" t="s">
        <v>130</v>
      </c>
    </row>
    <row r="21" spans="1:6" ht="16.350000000000001" x14ac:dyDescent="0.4">
      <c r="A21" s="174"/>
      <c r="B21" s="175" t="s">
        <v>101</v>
      </c>
      <c r="C21" s="175" t="s">
        <v>102</v>
      </c>
      <c r="D21" s="175" t="s">
        <v>103</v>
      </c>
      <c r="E21" s="175" t="s">
        <v>104</v>
      </c>
      <c r="F21" s="176" t="s">
        <v>105</v>
      </c>
    </row>
    <row r="22" spans="1:6" ht="15" x14ac:dyDescent="0.3">
      <c r="A22" s="177" t="s">
        <v>106</v>
      </c>
      <c r="B22" s="178">
        <f t="shared" ref="B22:F24" si="0">B7-B14</f>
        <v>-32758383.206312656</v>
      </c>
      <c r="C22" s="178">
        <f t="shared" si="0"/>
        <v>-8925040.5632872954</v>
      </c>
      <c r="D22" s="178">
        <f t="shared" si="0"/>
        <v>-4975154.4869484827</v>
      </c>
      <c r="E22" s="178">
        <f t="shared" si="0"/>
        <v>-42603650.243451267</v>
      </c>
      <c r="F22" s="179">
        <f t="shared" si="0"/>
        <v>-89262228.499999762</v>
      </c>
    </row>
    <row r="23" spans="1:6" ht="15" x14ac:dyDescent="0.3">
      <c r="A23" s="180" t="s">
        <v>107</v>
      </c>
      <c r="B23" s="181">
        <f t="shared" si="0"/>
        <v>-2654.6999999999971</v>
      </c>
      <c r="C23" s="181">
        <f t="shared" si="0"/>
        <v>-1927.0999999999985</v>
      </c>
      <c r="D23" s="181">
        <f t="shared" si="0"/>
        <v>-869.39999999999964</v>
      </c>
      <c r="E23" s="181">
        <f t="shared" si="0"/>
        <v>-3251.9000000000015</v>
      </c>
      <c r="F23" s="182">
        <f t="shared" si="0"/>
        <v>-8703.1000000000058</v>
      </c>
    </row>
    <row r="24" spans="1:6" ht="15" x14ac:dyDescent="0.3">
      <c r="A24" s="183" t="s">
        <v>108</v>
      </c>
      <c r="B24" s="184">
        <f t="shared" si="0"/>
        <v>-338.18248970155719</v>
      </c>
      <c r="C24" s="184">
        <f t="shared" si="0"/>
        <v>-171.06834876918538</v>
      </c>
      <c r="D24" s="184">
        <f t="shared" si="0"/>
        <v>-149.28517595477888</v>
      </c>
      <c r="E24" s="184">
        <f t="shared" si="0"/>
        <v>-516.10503520207567</v>
      </c>
      <c r="F24" s="185">
        <f t="shared" si="0"/>
        <v>-355.01326901737912</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9"/>
  <sheetViews>
    <sheetView workbookViewId="0">
      <selection sqref="A1:XFD1048576"/>
    </sheetView>
  </sheetViews>
  <sheetFormatPr defaultRowHeight="14.4" x14ac:dyDescent="0.3"/>
  <cols>
    <col min="1" max="1" width="16.44140625" customWidth="1"/>
    <col min="2" max="2" width="12.33203125" customWidth="1"/>
    <col min="3" max="3" width="11.6640625" customWidth="1"/>
    <col min="4" max="4" width="12.44140625" customWidth="1"/>
    <col min="5" max="5" width="13.6640625" customWidth="1"/>
    <col min="6" max="6" width="12.5546875" customWidth="1"/>
    <col min="8" max="8" width="12" bestFit="1" customWidth="1"/>
  </cols>
  <sheetData>
    <row r="1" spans="1:8" ht="15" x14ac:dyDescent="0.3">
      <c r="A1" s="99" t="s">
        <v>131</v>
      </c>
    </row>
    <row r="2" spans="1:8" ht="15" x14ac:dyDescent="0.3">
      <c r="A2" s="108" t="s">
        <v>132</v>
      </c>
    </row>
    <row r="4" spans="1:8" ht="15" x14ac:dyDescent="0.3">
      <c r="A4" s="99" t="s">
        <v>84</v>
      </c>
    </row>
    <row r="5" spans="1:8" ht="16.350000000000001" x14ac:dyDescent="0.4">
      <c r="A5" s="109"/>
      <c r="B5" s="110" t="s">
        <v>101</v>
      </c>
      <c r="C5" s="110" t="s">
        <v>102</v>
      </c>
      <c r="D5" s="110" t="s">
        <v>103</v>
      </c>
      <c r="E5" s="110" t="s">
        <v>104</v>
      </c>
      <c r="F5" s="111" t="s">
        <v>105</v>
      </c>
      <c r="H5" s="111" t="s">
        <v>134</v>
      </c>
    </row>
    <row r="6" spans="1:8" ht="15" x14ac:dyDescent="0.3">
      <c r="A6" s="112" t="s">
        <v>106</v>
      </c>
      <c r="B6" s="113">
        <v>374897832.97706622</v>
      </c>
      <c r="C6" s="113">
        <v>81871295.475999743</v>
      </c>
      <c r="D6" s="113">
        <v>68978913.530547306</v>
      </c>
      <c r="E6" s="113">
        <v>343480850.01638675</v>
      </c>
      <c r="F6" s="114">
        <v>869228892</v>
      </c>
      <c r="H6" s="186">
        <f>E6+B6</f>
        <v>718378682.99345303</v>
      </c>
    </row>
    <row r="7" spans="1:8" ht="15" x14ac:dyDescent="0.3">
      <c r="A7" s="115" t="s">
        <v>107</v>
      </c>
      <c r="B7" s="116">
        <v>65540.600000000006</v>
      </c>
      <c r="C7" s="116">
        <v>19733.900000000001</v>
      </c>
      <c r="D7" s="116">
        <v>14764.1</v>
      </c>
      <c r="E7" s="116">
        <v>52339.199999999997</v>
      </c>
      <c r="F7" s="117">
        <v>152377.79999999999</v>
      </c>
      <c r="H7" s="18">
        <f>E7+B7</f>
        <v>117879.8</v>
      </c>
    </row>
    <row r="8" spans="1:8" ht="15" x14ac:dyDescent="0.3">
      <c r="A8" s="118" t="s">
        <v>108</v>
      </c>
      <c r="B8" s="119">
        <v>5720.0854581292542</v>
      </c>
      <c r="C8" s="119">
        <v>4148.7640798828279</v>
      </c>
      <c r="D8" s="119">
        <v>4672.070328062483</v>
      </c>
      <c r="E8" s="119">
        <v>6562.5926650844258</v>
      </c>
      <c r="F8" s="120">
        <v>5704.4326141997071</v>
      </c>
      <c r="H8" s="20">
        <f>H6/H7</f>
        <v>6094.1627233287891</v>
      </c>
    </row>
    <row r="11" spans="1:8" ht="15" x14ac:dyDescent="0.3">
      <c r="A11" s="99" t="s">
        <v>100</v>
      </c>
    </row>
    <row r="12" spans="1:8" ht="16.350000000000001" x14ac:dyDescent="0.4">
      <c r="A12" s="121"/>
      <c r="B12" s="122" t="s">
        <v>101</v>
      </c>
      <c r="C12" s="122" t="s">
        <v>102</v>
      </c>
      <c r="D12" s="122" t="s">
        <v>103</v>
      </c>
      <c r="E12" s="122" t="s">
        <v>104</v>
      </c>
      <c r="F12" s="123" t="s">
        <v>105</v>
      </c>
    </row>
    <row r="13" spans="1:8" ht="15" x14ac:dyDescent="0.3">
      <c r="A13" s="124" t="s">
        <v>106</v>
      </c>
      <c r="B13" s="125">
        <v>403714430.82926428</v>
      </c>
      <c r="C13" s="125">
        <v>89764722.52528353</v>
      </c>
      <c r="D13" s="125">
        <v>71759568.990133852</v>
      </c>
      <c r="E13" s="125">
        <v>378339856.65531832</v>
      </c>
      <c r="F13" s="126">
        <v>943578579</v>
      </c>
    </row>
    <row r="14" spans="1:8" ht="15" x14ac:dyDescent="0.3">
      <c r="A14" s="127" t="s">
        <v>107</v>
      </c>
      <c r="B14" s="128">
        <v>68195.3</v>
      </c>
      <c r="C14" s="128">
        <v>21661</v>
      </c>
      <c r="D14" s="128">
        <v>15633.5</v>
      </c>
      <c r="E14" s="128">
        <v>55591.1</v>
      </c>
      <c r="F14" s="129">
        <v>161080.9</v>
      </c>
    </row>
    <row r="15" spans="1:8" ht="15" x14ac:dyDescent="0.3">
      <c r="A15" s="130" t="s">
        <v>108</v>
      </c>
      <c r="B15" s="131">
        <v>5919.974409222692</v>
      </c>
      <c r="C15" s="131">
        <v>4144.0710274356461</v>
      </c>
      <c r="D15" s="131">
        <v>4590.1153925949948</v>
      </c>
      <c r="E15" s="131">
        <v>6805.7630925691046</v>
      </c>
      <c r="F15" s="132">
        <v>5857.7930654720703</v>
      </c>
    </row>
    <row r="18" spans="1:6" ht="15" x14ac:dyDescent="0.3">
      <c r="A18" s="99" t="s">
        <v>130</v>
      </c>
    </row>
    <row r="20" spans="1:6" ht="16.350000000000001" x14ac:dyDescent="0.4">
      <c r="A20" s="133"/>
      <c r="B20" s="134" t="s">
        <v>101</v>
      </c>
      <c r="C20" s="134" t="s">
        <v>102</v>
      </c>
      <c r="D20" s="134" t="s">
        <v>103</v>
      </c>
      <c r="E20" s="134" t="s">
        <v>104</v>
      </c>
      <c r="F20" s="135" t="s">
        <v>105</v>
      </c>
    </row>
    <row r="21" spans="1:6" ht="15" x14ac:dyDescent="0.3">
      <c r="A21" s="136" t="s">
        <v>106</v>
      </c>
      <c r="B21" s="137">
        <f t="shared" ref="B21:F23" si="0">B6-B13</f>
        <v>-28816597.852198064</v>
      </c>
      <c r="C21" s="137">
        <f t="shared" si="0"/>
        <v>-7893427.0492837876</v>
      </c>
      <c r="D21" s="137">
        <f t="shared" si="0"/>
        <v>-2780655.4595865458</v>
      </c>
      <c r="E21" s="137">
        <f t="shared" si="0"/>
        <v>-34859006.638931572</v>
      </c>
      <c r="F21" s="138">
        <f t="shared" si="0"/>
        <v>-74349687</v>
      </c>
    </row>
    <row r="22" spans="1:6" ht="15" x14ac:dyDescent="0.3">
      <c r="A22" s="139" t="s">
        <v>107</v>
      </c>
      <c r="B22" s="140">
        <f t="shared" si="0"/>
        <v>-2654.6999999999971</v>
      </c>
      <c r="C22" s="140">
        <f t="shared" si="0"/>
        <v>-1927.0999999999985</v>
      </c>
      <c r="D22" s="140">
        <f t="shared" si="0"/>
        <v>-869.39999999999964</v>
      </c>
      <c r="E22" s="140">
        <f t="shared" si="0"/>
        <v>-3251.9000000000015</v>
      </c>
      <c r="F22" s="141">
        <f t="shared" si="0"/>
        <v>-8703.1000000000058</v>
      </c>
    </row>
    <row r="23" spans="1:6" ht="15" x14ac:dyDescent="0.3">
      <c r="A23" s="142" t="s">
        <v>108</v>
      </c>
      <c r="B23" s="143">
        <f t="shared" si="0"/>
        <v>-199.88895109343775</v>
      </c>
      <c r="C23" s="143">
        <f t="shared" si="0"/>
        <v>4.6930524471817989</v>
      </c>
      <c r="D23" s="143">
        <f t="shared" si="0"/>
        <v>81.954935467488212</v>
      </c>
      <c r="E23" s="143">
        <f t="shared" si="0"/>
        <v>-243.17042748467884</v>
      </c>
      <c r="F23" s="144">
        <f t="shared" si="0"/>
        <v>-153.36045127236321</v>
      </c>
    </row>
    <row r="27" spans="1:6" ht="15" x14ac:dyDescent="0.3">
      <c r="A27" s="108" t="s">
        <v>133</v>
      </c>
    </row>
    <row r="28" spans="1:6" ht="15" x14ac:dyDescent="0.3">
      <c r="A28" s="145" t="s">
        <v>109</v>
      </c>
    </row>
    <row r="29" spans="1:6" ht="15" x14ac:dyDescent="0.3">
      <c r="A29" s="145"/>
    </row>
  </sheetData>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Notes</vt:lpstr>
      <vt:lpstr>Totals-Resident</vt:lpstr>
      <vt:lpstr>Totals-Nonresident</vt:lpstr>
      <vt:lpstr>CWU-EWU-TESC-WWU Data</vt:lpstr>
      <vt:lpstr>WSU Data</vt:lpstr>
      <vt:lpstr>UW Data</vt:lpstr>
      <vt:lpstr>SBCTC exp-no tuition</vt:lpstr>
      <vt:lpstr>SBCTC exp-incl tuition</vt:lpstr>
      <vt:lpstr>'WSU Data'!_ftn1</vt:lpstr>
      <vt:lpstr>'WSU Data'!_ftnref1</vt:lpstr>
    </vt:vector>
  </TitlesOfParts>
  <Company>The Evergreen State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Expenditure Study</dc:title>
  <dc:creator>trotters</dc:creator>
  <cp:lastModifiedBy>Hughes, Rachel (OFM)</cp:lastModifiedBy>
  <cp:lastPrinted>2012-10-12T15:27:51Z</cp:lastPrinted>
  <dcterms:created xsi:type="dcterms:W3CDTF">2012-10-10T19:35:36Z</dcterms:created>
  <dcterms:modified xsi:type="dcterms:W3CDTF">2014-01-15T20:37:26Z</dcterms:modified>
</cp:coreProperties>
</file>